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KbsNotice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tro\Desktop\"/>
    </mc:Choice>
  </mc:AlternateContent>
  <xr:revisionPtr revIDLastSave="0" documentId="13_ncr:1_{E00356F7-0A8B-4294-AA38-AA7F0AFC442F}" xr6:coauthVersionLast="47" xr6:coauthVersionMax="47" xr10:uidLastSave="{00000000-0000-0000-0000-000000000000}"/>
  <workbookProtection workbookAlgorithmName="SHA-512" workbookHashValue="hhrRlCRDcKfSJO+PF56E/MumYA6rYlUf3OZNC3YeYKRQU8KaMFVgavNph3LFoysC/KDKGLPCRbn1B31JrfUpKg==" workbookSaltValue="T2KDRoOUCM3so1cZ1hVyYQ==" workbookSpinCount="100000" lockStructure="1"/>
  <bookViews>
    <workbookView activeTab="0" xWindow="5100" yWindow="3570" windowWidth="21600" windowHeight="11295" tabRatio="500" xr2:uid="{00000000-000D-0000-FFFF-FFFF00000000}"/>
  </bookViews>
  <sheets>
    <sheet name="ΑΝΟΙΓΜΑ" sheetId="41" r:id="rIdKbsNotice"/>
    <sheet name="License" sheetId="40" r:id="rId1" state="veryHidden"/>
    <sheet name="Dashboard" sheetId="1" r:id="rId2" state="veryHidden"/>
    <sheet name="User_Guide" sheetId="2" r:id="rId3" state="veryHidden"/>
    <sheet name="Leads" sheetId="3" r:id="rId4" state="veryHidden"/>
    <sheet name="Quotation" sheetId="4" r:id="rId5" state="veryHidden"/>
    <sheet name="Quote_Followup" sheetId="5" r:id="rId6" state="veryHidden"/>
    <sheet name="Project_List" sheetId="6" r:id="rId7" state="veryHidden"/>
    <sheet name="Customers" sheetId="7" r:id="rId8" state="veryHidden"/>
    <sheet name="Gantt" sheetId="8" r:id="rId9" state="veryHidden"/>
    <sheet name="Cost_Calc" sheetId="9" r:id="rId10" state="veryHidden"/>
    <sheet name="Cabinet_Calc" sheetId="10" r:id="rId11" state="veryHidden"/>
    <sheet name="Cutting_List" sheetId="11" r:id="rId12" state="veryHidden"/>
    <sheet name="Capacity" sheetId="12" r:id="rId13" state="veryHidden"/>
    <sheet name="Staff" sheetId="13" r:id="rId14" state="veryHidden"/>
    <sheet name="Payroll" sheetId="15" r:id="rId15" state="veryHidden"/>
    <sheet name="Time_Tracking" sheetId="14" r:id="rId16" state="veryHidden"/>
    <sheet name="Subcontractors" sheetId="16" r:id="rId17" state="veryHidden"/>
    <sheet name="Logistics" sheetId="17" r:id="rId18" state="veryHidden"/>
    <sheet name="Checklists" sheetId="18" r:id="rId19" state="veryHidden"/>
    <sheet name="Cash_Flow" sheetId="19" r:id="rId20" state="veryHidden"/>
    <sheet name="Expenses" sheetId="21" r:id="rId21" state="veryHidden"/>
    <sheet name="Bank_Accounts" sheetId="20" r:id="rId22" state="veryHidden"/>
    <sheet name="Invoices" sheetId="22" r:id="rId23" state="veryHidden"/>
    <sheet name="Purchase_Orders" sheetId="23" r:id="rId24" state="veryHidden"/>
    <sheet name="P_L" sheetId="24" r:id="rId25" state="veryHidden"/>
    <sheet name="VAT_Return" sheetId="25" r:id="rId26" state="veryHidden"/>
    <sheet name="Variance" sheetId="26" r:id="rId27" state="veryHidden"/>
    <sheet name="Reports" sheetId="27" r:id="rId28" state="veryHidden"/>
    <sheet name="Warranty" sheetId="28" r:id="rId29" state="veryHidden"/>
    <sheet name="Snags" sheetId="29" r:id="rId30" state="veryHidden"/>
    <sheet name="Equipment" sheetId="30" r:id="rId31" state="veryHidden"/>
    <sheet name="Consumables" sheetId="31" r:id="rId32" state="veryHidden"/>
    <sheet name="Renewals" sheetId="32" r:id="rId33" state="veryHidden"/>
    <sheet name="Materials" sheetId="33" r:id="rId34" state="veryHidden"/>
    <sheet name="Hardware" sheetId="34" r:id="rId35" state="veryHidden"/>
    <sheet name="Product_Pricing" sheetId="35" r:id="rId36" state="veryHidden"/>
    <sheet name="Price_History" sheetId="36" r:id="rId37" state="veryHidden"/>
    <sheet name="Settings" sheetId="37" r:id="rId38" state="veryHidden"/>
    <sheet name="Suppliers" sheetId="38" r:id="rId39" state="veryHidden"/>
    <sheet name="Audit_Log" sheetId="39" r:id="rId40" state="veryHidden"/>
  </sheets>
  <definedNames>
    <definedName name="Report_Year">Settings!$B$56</definedName>
    <definedName name="Balance_Due_Days">Settings!$B$11</definedName>
    <definedName name="Bank_Current_Balance">Bank_Accounts!$H$3:$H$22</definedName>
    <definedName name="Bank_ID">Bank_Accounts!$A$3:$A$22</definedName>
    <definedName name="Bank_Name">Bank_Accounts!$B$3:$B$22</definedName>
    <definedName name="CF_Amount">Cash_Flow!$F$3:$F$1002</definedName>
    <definedName name="CF_Category">Cash_Flow!$C$3:$C$1002</definedName>
    <definedName name="CF_Date">Cash_Flow!$A$3:$A$1002</definedName>
    <definedName name="CF_Type">Cash_Flow!$D$3:$D$1002</definedName>
    <definedName name="Co_Address">Settings!$B$49</definedName>
    <definedName name="Co_Currency">Settings!$B$53</definedName>
    <definedName name="Co_Email">Settings!$B$51</definedName>
    <definedName name="Co_Name">Settings!$B$48</definedName>
    <definedName name="Co_Phone">Settings!$B$50</definedName>
    <definedName name="Co_VAT_No">Settings!$B$52</definedName>
    <definedName name="Cost_GrandTotal">Cost_Calc!$F$62</definedName>
    <definedName name="Cost_Labor">Cost_Calc!$F$38</definedName>
    <definedName name="Cost_Materials">Cost_Calc!$F$23</definedName>
    <definedName name="Cost_Net">Cost_Calc!$F$60</definedName>
    <definedName name="Cost_Other">Cost_Calc!$F$48</definedName>
    <definedName name="Cost_Suggested">Cost_Calc!$F$58</definedName>
    <definedName name="Cost_Total">Cost_Calc!$F$56</definedName>
    <definedName name="Customer_IDs">Customers!$A$3:$A$102</definedName>
    <definedName name="Customer_Names">Customers!$B$3:$B$102</definedName>
    <definedName name="Customers_Table">Customers!$A$3:$L$102</definedName>
    <definedName name="Cutting_Project">Cutting_List!$A$3:$A$502</definedName>
    <definedName name="Cutting_Total_Cost">Cutting_List!$L$3:$L$502</definedName>
    <definedName name="Delivery_Base_Fee">Settings!$B$27</definedName>
    <definedName name="Deposit_Pct">Settings!$B$10</definedName>
    <definedName name="Exp_Category">Expenses!$C$3:$C$502</definedName>
    <definedName name="Exp_Date">Expenses!$A$3:$A$502</definedName>
    <definedName name="Exp_Net">Expenses!$F$3:$F$502</definedName>
    <definedName name="Exp_Total">Expenses!$I$3:$I$502</definedName>
    <definedName name="Exp_VAT">Expenses!$H$3:$H$502</definedName>
    <definedName name="Factor_Cabinets">Settings!$B$37</definedName>
    <definedName name="Factor_CeilingPanels">Settings!$B$35</definedName>
    <definedName name="Factor_Doors">Settings!$B$31</definedName>
    <definedName name="Factor_Furniture">Settings!$B$36</definedName>
    <definedName name="Factor_Kitchens">Settings!$B$32</definedName>
    <definedName name="Factor_WallPanels">Settings!$B$34</definedName>
    <definedName name="Factor_Wardrobes">Settings!$B$33</definedName>
    <definedName name="Fuel_Cost_Per_Km">Settings!$B$26</definedName>
    <definedName name="Gantt_Status">Gantt!$I$3:$I$45</definedName>
    <definedName name="Gantt_Table">Gantt!$A$3:$I$45</definedName>
    <definedName name="Hardware_Codes">Hardware!$A$3:$A$25</definedName>
    <definedName name="Hardware_Table">Hardware!$A$3:$I$25</definedName>
    <definedName name="Install_Base_Fee">Settings!$B$28</definedName>
    <definedName name="Invoice_DueDate">Invoices!$F$3:$F$202</definedName>
    <definedName name="Invoice_Outstanding">Invoices!$L$3:$L$202</definedName>
    <definedName name="Invoice_Paid">Invoices!$K$3:$K$202</definedName>
    <definedName name="Invoice_ProjectIDs">Invoices!$B$3:$B$202</definedName>
    <definedName name="Invoice_Status">Invoices!$M$3:$M$202</definedName>
    <definedName name="Invoice_Total">Invoices!$I$3:$I$202</definedName>
    <definedName name="Invoices_Table">Invoices!$A$3:$M$202</definedName>
    <definedName name="List_Categories">Settings!$F$3:$F$9</definedName>
    <definedName name="List_Departments">Settings!$I$3:$I$14</definedName>
    <definedName name="List_Priorities">Settings!$H$3:$H$6</definedName>
    <definedName name="List_Stages">Settings!$J$3:$J$17</definedName>
    <definedName name="List_Statuses">Settings!$G$3:$G$12</definedName>
    <definedName name="List_YesNo">Settings!$K$3:$K$4</definedName>
    <definedName name="Logistics_Dates">Logistics!$E$3:$E$102</definedName>
    <definedName name="Logistics_Status">Logistics!$N$3:$N$102</definedName>
    <definedName name="Logistics_Table">Logistics!$A$3:$N$102</definedName>
    <definedName name="Logistics_Type">Logistics!$D$3:$D$102</definedName>
    <definedName name="Markup_Pct">Settings!$B$7</definedName>
    <definedName name="Materials_Codes">Materials!$A$3:$A$32</definedName>
    <definedName name="Materials_Table">Materials!$A$3:$I$32</definedName>
    <definedName name="Max_Discount_Pct">Settings!$B$9</definedName>
    <definedName name="Mult_Assembly">Settings!$B$43</definedName>
    <definedName name="Mult_CNC">Settings!$B$40</definedName>
    <definedName name="Mult_Cutting">Settings!$B$41</definedName>
    <definedName name="Mult_Design">Settings!$B$39</definedName>
    <definedName name="Mult_EdgeBand">Settings!$B$42</definedName>
    <definedName name="Mult_Install">Settings!$B$46</definedName>
    <definedName name="Mult_Paint">Settings!$B$45</definedName>
    <definedName name="Mult_Sanding">Settings!$B$44</definedName>
    <definedName name="Overhead_Pct">Settings!$B$6</definedName>
    <definedName name="Payroll_GrandTotal">Payroll!$M$39</definedName>
    <definedName name="Payroll_Total">Payroll!$M$3:$M$38</definedName>
    <definedName name="PO_Project">Purchase_Orders!$D$3:$D$202</definedName>
    <definedName name="PO_Status">Purchase_Orders!$M$3:$M$202</definedName>
    <definedName name="PO_Supplier">Purchase_Orders!$C$3:$C$202</definedName>
    <definedName name="PO_Table">Purchase_Orders!$A$3:$M$202</definedName>
    <definedName name="PO_Total">Purchase_Orders!$L$3:$L$202</definedName>
    <definedName name="Pricing_Table">Product_Pricing!$A$3:$H$9</definedName>
    <definedName name="Project_Categories">Project_List!$D$3:$D$102</definedName>
    <definedName name="Project_Cost">Project_List!$N$3:$N$102</definedName>
    <definedName name="Project_Deadline">Project_List!$J$3:$J$102</definedName>
    <definedName name="Project_DeliveryDt">Project_List!$K$3:$K$102</definedName>
    <definedName name="Project_IDs">Project_List!$A$3:$A$102</definedName>
    <definedName name="Project_InstallDt">Project_List!$L$3:$L$102</definedName>
    <definedName name="Project_Profit">Project_List!$O$3:$O$102</definedName>
    <definedName name="Project_Progress">Project_List!$S$3:$S$102</definedName>
    <definedName name="Project_Quoted">Project_List!$M$3:$M$102</definedName>
    <definedName name="Project_Statuses">Project_List!$E$3:$E$102</definedName>
    <definedName name="Projects_Table">Project_List!$A$3:$T$102</definedName>
    <definedName name="QF_Outcome">Quote_Followup!$J$3:$J$102</definedName>
    <definedName name="Rate_Assembly">Settings!$B$18</definedName>
    <definedName name="Rate_CNC">Settings!$B$15</definedName>
    <definedName name="Rate_Cutting">Settings!$B$16</definedName>
    <definedName name="Rate_Design">Settings!$B$13</definedName>
    <definedName name="Rate_EdgeBand">Settings!$B$17</definedName>
    <definedName name="Rate_Install">Settings!$B$22</definedName>
    <definedName name="Rate_Loading">Settings!$B$21</definedName>
    <definedName name="Rate_Measuring">Settings!$B$14</definedName>
    <definedName name="Rate_Overtime_Mult">Settings!$B$24</definedName>
    <definedName name="Rate_Paint">Settings!$B$20</definedName>
    <definedName name="Rate_Sanding">Settings!$B$19</definedName>
    <definedName name="Rate_Supervisor">Settings!$B$23</definedName>
    <definedName name="Site_Work_Factor">Settings!$B$29</definedName>
    <definedName name="Snag_Severity">Snags!$F$3:$F$152</definedName>
    <definedName name="Snag_Status">Snags!$I$3:$I$152</definedName>
    <definedName name="Staff_IDs">Staff!$A$3:$A$37</definedName>
    <definedName name="Staff_Names">Staff!$B$3:$B$37</definedName>
    <definedName name="Staff_Table">Staff!$A$3:$J$37</definedName>
    <definedName name="Subs_Outstanding">Subcontractors!$I$3:$I$62</definedName>
    <definedName name="Subs_Status">Subcontractors!$K$3:$K$62</definedName>
    <definedName name="Subs_Table">Subcontractors!$A$3:$K$62</definedName>
    <definedName name="Supplier_IDs">Suppliers!$A$3:$A$52</definedName>
    <definedName name="Supplier_Names">Suppliers!$B$3:$B$52</definedName>
    <definedName name="Suppliers_Table">Suppliers!$A$3:$J$52</definedName>
    <definedName name="Target_Margin_Pct">Settings!$B$8</definedName>
    <definedName name="Time_Cost">Time_Tracking!$J$3:$J$202</definedName>
    <definedName name="Time_Dept">Time_Tracking!$D$3:$D$202</definedName>
    <definedName name="Time_Hours">Time_Tracking!$G$3:$G$202</definedName>
    <definedName name="Time_Overtime">Time_Tracking!$I$3:$I$202</definedName>
    <definedName name="Time_ProjectIDs">Time_Tracking!$E$3:$E$202</definedName>
    <definedName name="Time_Table">Time_Tracking!$A$3:$J$202</definedName>
    <definedName name="VAT_Rate">Settings!$B$4</definedName>
    <definedName name="Warranty_Project">Warranty!$A$3:$A$202</definedName>
    <definedName name="Warranty_Status">Warranty!$H$3:$H$202</definedName>
    <definedName name="Waste_Pct">Settings!$B$5</definedName>
  </definedNames>
  <calcPr fullCalcOnLoad="1"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2" i="36" l="1"/>
  <c r="G201" i="36"/>
  <c r="G200" i="36"/>
  <c r="G199" i="36"/>
  <c r="G198" i="36"/>
  <c r="G197" i="36"/>
  <c r="G196" i="36"/>
  <c r="G195" i="36"/>
  <c r="G194" i="36"/>
  <c r="G193" i="36"/>
  <c r="G192" i="36"/>
  <c r="G191" i="36"/>
  <c r="G190" i="36"/>
  <c r="G189" i="36"/>
  <c r="G188" i="36"/>
  <c r="G187" i="36"/>
  <c r="G186" i="36"/>
  <c r="G185" i="36"/>
  <c r="G184" i="36"/>
  <c r="G183" i="36"/>
  <c r="G182" i="36"/>
  <c r="G181" i="36"/>
  <c r="G180" i="36"/>
  <c r="G179" i="36"/>
  <c r="G178" i="36"/>
  <c r="G177" i="36"/>
  <c r="G176" i="36"/>
  <c r="G175" i="36"/>
  <c r="G174" i="36"/>
  <c r="G173" i="36"/>
  <c r="G172" i="36"/>
  <c r="G171" i="36"/>
  <c r="G170" i="36"/>
  <c r="G169" i="36"/>
  <c r="G168" i="36"/>
  <c r="G167" i="36"/>
  <c r="G166" i="36"/>
  <c r="G165" i="36"/>
  <c r="G164" i="36"/>
  <c r="G163" i="36"/>
  <c r="G162" i="36"/>
  <c r="G161" i="36"/>
  <c r="G160" i="36"/>
  <c r="G159" i="36"/>
  <c r="G158" i="36"/>
  <c r="G157" i="36"/>
  <c r="G156" i="36"/>
  <c r="G155" i="36"/>
  <c r="G154" i="36"/>
  <c r="G153" i="36"/>
  <c r="G152" i="36"/>
  <c r="G151" i="36"/>
  <c r="G150" i="36"/>
  <c r="G149" i="36"/>
  <c r="G148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5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1" i="36"/>
  <c r="G120" i="36"/>
  <c r="G119" i="36"/>
  <c r="G118" i="36"/>
  <c r="G117" i="36"/>
  <c r="G116" i="36"/>
  <c r="G115" i="36"/>
  <c r="G114" i="36"/>
  <c r="G113" i="36"/>
  <c r="G112" i="36"/>
  <c r="G111" i="36"/>
  <c r="G110" i="36"/>
  <c r="G109" i="36"/>
  <c r="G108" i="36"/>
  <c r="G107" i="36"/>
  <c r="G106" i="36"/>
  <c r="G105" i="36"/>
  <c r="G104" i="36"/>
  <c r="G103" i="36"/>
  <c r="G102" i="36"/>
  <c r="G101" i="36"/>
  <c r="G100" i="36"/>
  <c r="G99" i="36"/>
  <c r="G98" i="36"/>
  <c r="G97" i="36"/>
  <c r="G96" i="36"/>
  <c r="G95" i="36"/>
  <c r="G94" i="36"/>
  <c r="G93" i="36"/>
  <c r="G92" i="36"/>
  <c r="G91" i="36"/>
  <c r="G90" i="36"/>
  <c r="G89" i="36"/>
  <c r="G88" i="36"/>
  <c r="G87" i="36"/>
  <c r="G86" i="36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G4" i="36"/>
  <c r="G3" i="36"/>
  <c r="H1" i="36"/>
  <c r="H9" i="35"/>
  <c r="G9" i="35"/>
  <c r="F9" i="35"/>
  <c r="H8" i="35"/>
  <c r="G8" i="35"/>
  <c r="F8" i="35"/>
  <c r="H7" i="35"/>
  <c r="G7" i="35"/>
  <c r="F7" i="35"/>
  <c r="H6" i="35"/>
  <c r="G6" i="35"/>
  <c r="F6" i="35"/>
  <c r="H5" i="35"/>
  <c r="G5" i="35"/>
  <c r="F5" i="35"/>
  <c r="H4" i="35"/>
  <c r="G4" i="35"/>
  <c r="F4" i="35"/>
  <c r="H3" i="35"/>
  <c r="G3" i="35"/>
  <c r="F3" i="35"/>
  <c r="H54" i="32"/>
  <c r="G52" i="32"/>
  <c r="I52" i="32" s="1"/>
  <c r="G51" i="32"/>
  <c r="I51" i="32" s="1"/>
  <c r="G50" i="32"/>
  <c r="I50" i="32" s="1"/>
  <c r="G49" i="32"/>
  <c r="I49" i="32" s="1"/>
  <c r="G48" i="32"/>
  <c r="I48" i="32" s="1"/>
  <c r="G47" i="32"/>
  <c r="I47" i="32" s="1"/>
  <c r="G46" i="32"/>
  <c r="I46" i="32" s="1"/>
  <c r="G45" i="32"/>
  <c r="I45" i="32" s="1"/>
  <c r="G44" i="32"/>
  <c r="I44" i="32" s="1"/>
  <c r="G43" i="32"/>
  <c r="I43" i="32" s="1"/>
  <c r="G42" i="32"/>
  <c r="I42" i="32" s="1"/>
  <c r="G41" i="32"/>
  <c r="I41" i="32" s="1"/>
  <c r="G40" i="32"/>
  <c r="I40" i="32" s="1"/>
  <c r="G39" i="32"/>
  <c r="I39" i="32" s="1"/>
  <c r="G38" i="32"/>
  <c r="I38" i="32" s="1"/>
  <c r="G37" i="32"/>
  <c r="I37" i="32" s="1"/>
  <c r="G36" i="32"/>
  <c r="I36" i="32" s="1"/>
  <c r="G35" i="32"/>
  <c r="I35" i="32" s="1"/>
  <c r="G34" i="32"/>
  <c r="I34" i="32" s="1"/>
  <c r="G33" i="32"/>
  <c r="I33" i="32" s="1"/>
  <c r="G32" i="32"/>
  <c r="I32" i="32" s="1"/>
  <c r="G31" i="32"/>
  <c r="I31" i="32" s="1"/>
  <c r="G30" i="32"/>
  <c r="I30" i="32" s="1"/>
  <c r="G29" i="32"/>
  <c r="I29" i="32" s="1"/>
  <c r="G28" i="32"/>
  <c r="I28" i="32" s="1"/>
  <c r="G27" i="32"/>
  <c r="I27" i="32" s="1"/>
  <c r="G26" i="32"/>
  <c r="I26" i="32" s="1"/>
  <c r="G25" i="32"/>
  <c r="I25" i="32" s="1"/>
  <c r="G24" i="32"/>
  <c r="I24" i="32" s="1"/>
  <c r="G23" i="32"/>
  <c r="I23" i="32" s="1"/>
  <c r="G22" i="32"/>
  <c r="I22" i="32" s="1"/>
  <c r="G21" i="32"/>
  <c r="I21" i="32" s="1"/>
  <c r="G20" i="32"/>
  <c r="I20" i="32" s="1"/>
  <c r="G19" i="32"/>
  <c r="I19" i="32" s="1"/>
  <c r="G18" i="32"/>
  <c r="I18" i="32" s="1"/>
  <c r="G17" i="32"/>
  <c r="I17" i="32" s="1"/>
  <c r="G16" i="32"/>
  <c r="I16" i="32" s="1"/>
  <c r="G15" i="32"/>
  <c r="I15" i="32" s="1"/>
  <c r="G14" i="32"/>
  <c r="I14" i="32" s="1"/>
  <c r="G13" i="32"/>
  <c r="I13" i="32" s="1"/>
  <c r="G12" i="32"/>
  <c r="I12" i="32" s="1"/>
  <c r="G11" i="32"/>
  <c r="I11" i="32" s="1"/>
  <c r="G10" i="32"/>
  <c r="I10" i="32" s="1"/>
  <c r="G9" i="32"/>
  <c r="I9" i="32" s="1"/>
  <c r="G8" i="32"/>
  <c r="I8" i="32" s="1"/>
  <c r="G7" i="32"/>
  <c r="I7" i="32" s="1"/>
  <c r="G6" i="32"/>
  <c r="I6" i="32" s="1"/>
  <c r="G5" i="32"/>
  <c r="I5" i="32" s="1"/>
  <c r="G4" i="32"/>
  <c r="I4" i="32" s="1"/>
  <c r="G3" i="32"/>
  <c r="I3" i="32" s="1"/>
  <c r="I502" i="31"/>
  <c r="H502" i="31"/>
  <c r="I501" i="31"/>
  <c r="H501" i="31"/>
  <c r="I500" i="31"/>
  <c r="H500" i="31"/>
  <c r="I499" i="31"/>
  <c r="H499" i="31"/>
  <c r="I498" i="31"/>
  <c r="H498" i="31"/>
  <c r="I497" i="31"/>
  <c r="H497" i="31"/>
  <c r="I496" i="31"/>
  <c r="H496" i="31"/>
  <c r="I495" i="31"/>
  <c r="H495" i="31"/>
  <c r="I494" i="31"/>
  <c r="H494" i="31"/>
  <c r="I493" i="31"/>
  <c r="H493" i="31"/>
  <c r="I492" i="31"/>
  <c r="H492" i="31"/>
  <c r="I491" i="31"/>
  <c r="H491" i="31"/>
  <c r="I490" i="31"/>
  <c r="H490" i="31"/>
  <c r="I489" i="31"/>
  <c r="H489" i="31"/>
  <c r="I488" i="31"/>
  <c r="H488" i="31"/>
  <c r="I487" i="31"/>
  <c r="H487" i="31"/>
  <c r="I486" i="31"/>
  <c r="H486" i="31"/>
  <c r="I485" i="31"/>
  <c r="H485" i="31"/>
  <c r="I484" i="31"/>
  <c r="H484" i="31"/>
  <c r="I483" i="31"/>
  <c r="H483" i="31"/>
  <c r="I482" i="31"/>
  <c r="H482" i="31"/>
  <c r="I481" i="31"/>
  <c r="H481" i="31"/>
  <c r="I480" i="31"/>
  <c r="H480" i="31"/>
  <c r="I479" i="31"/>
  <c r="H479" i="31"/>
  <c r="I478" i="31"/>
  <c r="H478" i="31"/>
  <c r="I477" i="31"/>
  <c r="H477" i="31"/>
  <c r="I476" i="31"/>
  <c r="H476" i="31"/>
  <c r="I475" i="31"/>
  <c r="H475" i="31"/>
  <c r="I474" i="31"/>
  <c r="H474" i="31"/>
  <c r="I473" i="31"/>
  <c r="H473" i="31"/>
  <c r="I472" i="31"/>
  <c r="H472" i="31"/>
  <c r="I471" i="31"/>
  <c r="H471" i="31"/>
  <c r="I470" i="31"/>
  <c r="H470" i="31"/>
  <c r="I469" i="31"/>
  <c r="H469" i="31"/>
  <c r="I468" i="31"/>
  <c r="H468" i="31"/>
  <c r="I467" i="31"/>
  <c r="H467" i="31"/>
  <c r="I466" i="31"/>
  <c r="H466" i="31"/>
  <c r="I465" i="31"/>
  <c r="H465" i="31"/>
  <c r="I464" i="31"/>
  <c r="H464" i="31"/>
  <c r="I463" i="31"/>
  <c r="H463" i="31"/>
  <c r="I462" i="31"/>
  <c r="H462" i="31"/>
  <c r="I461" i="31"/>
  <c r="H461" i="31"/>
  <c r="I460" i="31"/>
  <c r="H460" i="31"/>
  <c r="I459" i="31"/>
  <c r="H459" i="31"/>
  <c r="I458" i="31"/>
  <c r="H458" i="31"/>
  <c r="I457" i="31"/>
  <c r="H457" i="31"/>
  <c r="I456" i="31"/>
  <c r="H456" i="31"/>
  <c r="I455" i="31"/>
  <c r="H455" i="31"/>
  <c r="I454" i="31"/>
  <c r="H454" i="31"/>
  <c r="I453" i="31"/>
  <c r="H453" i="31"/>
  <c r="I452" i="31"/>
  <c r="H452" i="31"/>
  <c r="I451" i="31"/>
  <c r="H451" i="31"/>
  <c r="I450" i="31"/>
  <c r="H450" i="31"/>
  <c r="I449" i="31"/>
  <c r="H449" i="31"/>
  <c r="I448" i="31"/>
  <c r="H448" i="31"/>
  <c r="I447" i="31"/>
  <c r="H447" i="31"/>
  <c r="I446" i="31"/>
  <c r="H446" i="31"/>
  <c r="I445" i="31"/>
  <c r="H445" i="31"/>
  <c r="I444" i="31"/>
  <c r="H444" i="31"/>
  <c r="I443" i="31"/>
  <c r="H443" i="31"/>
  <c r="I442" i="31"/>
  <c r="H442" i="31"/>
  <c r="I441" i="31"/>
  <c r="H441" i="31"/>
  <c r="I440" i="31"/>
  <c r="H440" i="31"/>
  <c r="I439" i="31"/>
  <c r="H439" i="31"/>
  <c r="I438" i="31"/>
  <c r="H438" i="31"/>
  <c r="I437" i="31"/>
  <c r="H437" i="31"/>
  <c r="I436" i="31"/>
  <c r="H436" i="31"/>
  <c r="I435" i="31"/>
  <c r="H435" i="31"/>
  <c r="I434" i="31"/>
  <c r="H434" i="31"/>
  <c r="I433" i="31"/>
  <c r="H433" i="31"/>
  <c r="I432" i="31"/>
  <c r="H432" i="31"/>
  <c r="I431" i="31"/>
  <c r="H431" i="31"/>
  <c r="I430" i="31"/>
  <c r="H430" i="31"/>
  <c r="I429" i="31"/>
  <c r="H429" i="31"/>
  <c r="I428" i="31"/>
  <c r="H428" i="31"/>
  <c r="I427" i="31"/>
  <c r="H427" i="31"/>
  <c r="I426" i="31"/>
  <c r="H426" i="31"/>
  <c r="I425" i="31"/>
  <c r="H425" i="31"/>
  <c r="I424" i="31"/>
  <c r="H424" i="31"/>
  <c r="I423" i="31"/>
  <c r="H423" i="31"/>
  <c r="I422" i="31"/>
  <c r="H422" i="31"/>
  <c r="I421" i="31"/>
  <c r="H421" i="31"/>
  <c r="I420" i="31"/>
  <c r="H420" i="31"/>
  <c r="I419" i="31"/>
  <c r="H419" i="31"/>
  <c r="I418" i="31"/>
  <c r="H418" i="31"/>
  <c r="I417" i="31"/>
  <c r="H417" i="31"/>
  <c r="I416" i="31"/>
  <c r="H416" i="31"/>
  <c r="I415" i="31"/>
  <c r="H415" i="31"/>
  <c r="I414" i="31"/>
  <c r="H414" i="31"/>
  <c r="I413" i="31"/>
  <c r="H413" i="31"/>
  <c r="I412" i="31"/>
  <c r="H412" i="31"/>
  <c r="I411" i="31"/>
  <c r="H411" i="31"/>
  <c r="I410" i="31"/>
  <c r="H410" i="31"/>
  <c r="I409" i="31"/>
  <c r="H409" i="31"/>
  <c r="I408" i="31"/>
  <c r="H408" i="31"/>
  <c r="I407" i="31"/>
  <c r="H407" i="31"/>
  <c r="I406" i="31"/>
  <c r="H406" i="31"/>
  <c r="I405" i="31"/>
  <c r="H405" i="31"/>
  <c r="I404" i="31"/>
  <c r="H404" i="31"/>
  <c r="I403" i="31"/>
  <c r="H403" i="31"/>
  <c r="I402" i="31"/>
  <c r="H402" i="31"/>
  <c r="I401" i="31"/>
  <c r="H401" i="31"/>
  <c r="I400" i="31"/>
  <c r="H400" i="31"/>
  <c r="I399" i="31"/>
  <c r="H399" i="31"/>
  <c r="I398" i="31"/>
  <c r="H398" i="31"/>
  <c r="I397" i="31"/>
  <c r="H397" i="31"/>
  <c r="I396" i="31"/>
  <c r="H396" i="31"/>
  <c r="I395" i="31"/>
  <c r="H395" i="31"/>
  <c r="I394" i="31"/>
  <c r="H394" i="31"/>
  <c r="I393" i="31"/>
  <c r="H393" i="31"/>
  <c r="I392" i="31"/>
  <c r="H392" i="31"/>
  <c r="I391" i="31"/>
  <c r="H391" i="31"/>
  <c r="I390" i="31"/>
  <c r="H390" i="31"/>
  <c r="I389" i="31"/>
  <c r="H389" i="31"/>
  <c r="I388" i="31"/>
  <c r="H388" i="31"/>
  <c r="I387" i="31"/>
  <c r="H387" i="31"/>
  <c r="I386" i="31"/>
  <c r="H386" i="31"/>
  <c r="I385" i="31"/>
  <c r="H385" i="31"/>
  <c r="I384" i="31"/>
  <c r="H384" i="31"/>
  <c r="I383" i="31"/>
  <c r="H383" i="31"/>
  <c r="I382" i="31"/>
  <c r="H382" i="31"/>
  <c r="I381" i="31"/>
  <c r="H381" i="31"/>
  <c r="I380" i="31"/>
  <c r="H380" i="31"/>
  <c r="I379" i="31"/>
  <c r="H379" i="31"/>
  <c r="I378" i="31"/>
  <c r="H378" i="31"/>
  <c r="I377" i="31"/>
  <c r="H377" i="31"/>
  <c r="I376" i="31"/>
  <c r="H376" i="31"/>
  <c r="I375" i="31"/>
  <c r="H375" i="31"/>
  <c r="I374" i="31"/>
  <c r="H374" i="31"/>
  <c r="I373" i="31"/>
  <c r="H373" i="31"/>
  <c r="I372" i="31"/>
  <c r="H372" i="31"/>
  <c r="I371" i="31"/>
  <c r="H371" i="31"/>
  <c r="I370" i="31"/>
  <c r="H370" i="31"/>
  <c r="I369" i="31"/>
  <c r="H369" i="31"/>
  <c r="I368" i="31"/>
  <c r="H368" i="31"/>
  <c r="I367" i="31"/>
  <c r="H367" i="31"/>
  <c r="I366" i="31"/>
  <c r="H366" i="31"/>
  <c r="I365" i="31"/>
  <c r="H365" i="31"/>
  <c r="I364" i="31"/>
  <c r="H364" i="31"/>
  <c r="I363" i="31"/>
  <c r="H363" i="31"/>
  <c r="I362" i="31"/>
  <c r="H362" i="31"/>
  <c r="I361" i="31"/>
  <c r="H361" i="31"/>
  <c r="I360" i="31"/>
  <c r="H360" i="31"/>
  <c r="I359" i="31"/>
  <c r="H359" i="31"/>
  <c r="I358" i="31"/>
  <c r="H358" i="31"/>
  <c r="I357" i="31"/>
  <c r="H357" i="31"/>
  <c r="I356" i="31"/>
  <c r="H356" i="31"/>
  <c r="I355" i="31"/>
  <c r="H355" i="31"/>
  <c r="I354" i="31"/>
  <c r="H354" i="31"/>
  <c r="I353" i="31"/>
  <c r="H353" i="31"/>
  <c r="I352" i="31"/>
  <c r="H352" i="31"/>
  <c r="I351" i="31"/>
  <c r="H351" i="31"/>
  <c r="I350" i="31"/>
  <c r="H350" i="31"/>
  <c r="I349" i="31"/>
  <c r="H349" i="31"/>
  <c r="I348" i="31"/>
  <c r="H348" i="31"/>
  <c r="I347" i="31"/>
  <c r="H347" i="31"/>
  <c r="I346" i="31"/>
  <c r="H346" i="31"/>
  <c r="I345" i="31"/>
  <c r="H345" i="31"/>
  <c r="I344" i="31"/>
  <c r="H344" i="31"/>
  <c r="I343" i="31"/>
  <c r="H343" i="31"/>
  <c r="I342" i="31"/>
  <c r="H342" i="31"/>
  <c r="I341" i="31"/>
  <c r="H341" i="31"/>
  <c r="I340" i="31"/>
  <c r="H340" i="31"/>
  <c r="I339" i="31"/>
  <c r="H339" i="31"/>
  <c r="I338" i="31"/>
  <c r="H338" i="31"/>
  <c r="I337" i="31"/>
  <c r="H337" i="31"/>
  <c r="I336" i="31"/>
  <c r="H336" i="31"/>
  <c r="I335" i="31"/>
  <c r="H335" i="31"/>
  <c r="I334" i="31"/>
  <c r="H334" i="31"/>
  <c r="I333" i="31"/>
  <c r="H333" i="31"/>
  <c r="I332" i="31"/>
  <c r="H332" i="31"/>
  <c r="I331" i="31"/>
  <c r="H331" i="31"/>
  <c r="I330" i="31"/>
  <c r="H330" i="31"/>
  <c r="I329" i="31"/>
  <c r="H329" i="31"/>
  <c r="I328" i="31"/>
  <c r="H328" i="31"/>
  <c r="I327" i="31"/>
  <c r="H327" i="31"/>
  <c r="I326" i="31"/>
  <c r="H326" i="31"/>
  <c r="I325" i="31"/>
  <c r="H325" i="31"/>
  <c r="I324" i="31"/>
  <c r="H324" i="31"/>
  <c r="I323" i="31"/>
  <c r="H323" i="31"/>
  <c r="I322" i="31"/>
  <c r="H322" i="31"/>
  <c r="I321" i="31"/>
  <c r="H321" i="31"/>
  <c r="I320" i="31"/>
  <c r="H320" i="31"/>
  <c r="I319" i="31"/>
  <c r="H319" i="31"/>
  <c r="I318" i="31"/>
  <c r="H318" i="31"/>
  <c r="I317" i="31"/>
  <c r="H317" i="31"/>
  <c r="I316" i="31"/>
  <c r="H316" i="31"/>
  <c r="I315" i="31"/>
  <c r="H315" i="31"/>
  <c r="I314" i="31"/>
  <c r="H314" i="31"/>
  <c r="I313" i="31"/>
  <c r="H313" i="31"/>
  <c r="I312" i="31"/>
  <c r="H312" i="31"/>
  <c r="I311" i="31"/>
  <c r="H311" i="31"/>
  <c r="I310" i="31"/>
  <c r="H310" i="31"/>
  <c r="I309" i="31"/>
  <c r="H309" i="31"/>
  <c r="I308" i="31"/>
  <c r="H308" i="31"/>
  <c r="I307" i="31"/>
  <c r="H307" i="31"/>
  <c r="I306" i="31"/>
  <c r="H306" i="31"/>
  <c r="I305" i="31"/>
  <c r="H305" i="31"/>
  <c r="I304" i="31"/>
  <c r="H304" i="31"/>
  <c r="I303" i="31"/>
  <c r="H303" i="31"/>
  <c r="I302" i="31"/>
  <c r="H302" i="31"/>
  <c r="I301" i="31"/>
  <c r="H301" i="31"/>
  <c r="I300" i="31"/>
  <c r="H300" i="31"/>
  <c r="I299" i="31"/>
  <c r="H299" i="31"/>
  <c r="I298" i="31"/>
  <c r="H298" i="31"/>
  <c r="I297" i="31"/>
  <c r="H297" i="31"/>
  <c r="I296" i="31"/>
  <c r="H296" i="31"/>
  <c r="I295" i="31"/>
  <c r="H295" i="31"/>
  <c r="I294" i="31"/>
  <c r="H294" i="31"/>
  <c r="I293" i="31"/>
  <c r="H293" i="31"/>
  <c r="I292" i="31"/>
  <c r="H292" i="31"/>
  <c r="I291" i="31"/>
  <c r="H291" i="31"/>
  <c r="I290" i="31"/>
  <c r="H290" i="31"/>
  <c r="I289" i="31"/>
  <c r="H289" i="31"/>
  <c r="I288" i="31"/>
  <c r="H288" i="31"/>
  <c r="I287" i="31"/>
  <c r="H287" i="31"/>
  <c r="I286" i="31"/>
  <c r="H286" i="31"/>
  <c r="I285" i="31"/>
  <c r="H285" i="31"/>
  <c r="I284" i="31"/>
  <c r="H284" i="31"/>
  <c r="I283" i="31"/>
  <c r="H283" i="31"/>
  <c r="I282" i="31"/>
  <c r="H282" i="31"/>
  <c r="I281" i="31"/>
  <c r="H281" i="31"/>
  <c r="I280" i="31"/>
  <c r="H280" i="31"/>
  <c r="I279" i="31"/>
  <c r="H279" i="31"/>
  <c r="I278" i="31"/>
  <c r="H278" i="31"/>
  <c r="I277" i="31"/>
  <c r="H277" i="31"/>
  <c r="I276" i="31"/>
  <c r="H276" i="31"/>
  <c r="I275" i="31"/>
  <c r="H275" i="31"/>
  <c r="I274" i="31"/>
  <c r="H274" i="31"/>
  <c r="I273" i="31"/>
  <c r="H273" i="31"/>
  <c r="I272" i="31"/>
  <c r="H272" i="31"/>
  <c r="I271" i="31"/>
  <c r="H271" i="31"/>
  <c r="I270" i="31"/>
  <c r="H270" i="31"/>
  <c r="I269" i="31"/>
  <c r="H269" i="31"/>
  <c r="I268" i="31"/>
  <c r="H268" i="31"/>
  <c r="I267" i="31"/>
  <c r="H267" i="31"/>
  <c r="I266" i="31"/>
  <c r="H266" i="31"/>
  <c r="I265" i="31"/>
  <c r="H265" i="31"/>
  <c r="I264" i="31"/>
  <c r="H264" i="31"/>
  <c r="I263" i="31"/>
  <c r="H263" i="31"/>
  <c r="I262" i="31"/>
  <c r="H262" i="31"/>
  <c r="I261" i="31"/>
  <c r="H261" i="31"/>
  <c r="I260" i="31"/>
  <c r="H260" i="31"/>
  <c r="I259" i="31"/>
  <c r="H259" i="31"/>
  <c r="I258" i="31"/>
  <c r="H258" i="31"/>
  <c r="I257" i="31"/>
  <c r="H257" i="31"/>
  <c r="I256" i="31"/>
  <c r="H256" i="31"/>
  <c r="I255" i="31"/>
  <c r="H255" i="31"/>
  <c r="I254" i="31"/>
  <c r="H254" i="31"/>
  <c r="I253" i="31"/>
  <c r="H253" i="31"/>
  <c r="I252" i="31"/>
  <c r="H252" i="31"/>
  <c r="I251" i="31"/>
  <c r="H251" i="31"/>
  <c r="I250" i="31"/>
  <c r="H250" i="31"/>
  <c r="I249" i="31"/>
  <c r="H249" i="31"/>
  <c r="I248" i="31"/>
  <c r="H248" i="31"/>
  <c r="I247" i="31"/>
  <c r="H247" i="31"/>
  <c r="I246" i="31"/>
  <c r="H246" i="31"/>
  <c r="I245" i="31"/>
  <c r="H245" i="31"/>
  <c r="I244" i="31"/>
  <c r="H244" i="31"/>
  <c r="I243" i="31"/>
  <c r="H243" i="31"/>
  <c r="I242" i="31"/>
  <c r="H242" i="31"/>
  <c r="I241" i="31"/>
  <c r="H241" i="31"/>
  <c r="I240" i="31"/>
  <c r="H240" i="31"/>
  <c r="I239" i="31"/>
  <c r="H239" i="31"/>
  <c r="I238" i="31"/>
  <c r="H238" i="31"/>
  <c r="I237" i="31"/>
  <c r="H237" i="31"/>
  <c r="I236" i="31"/>
  <c r="H236" i="31"/>
  <c r="I235" i="31"/>
  <c r="H235" i="31"/>
  <c r="I234" i="31"/>
  <c r="H234" i="31"/>
  <c r="I233" i="31"/>
  <c r="H233" i="31"/>
  <c r="I232" i="31"/>
  <c r="H232" i="31"/>
  <c r="I231" i="31"/>
  <c r="H231" i="31"/>
  <c r="I230" i="31"/>
  <c r="H230" i="31"/>
  <c r="I229" i="31"/>
  <c r="H229" i="31"/>
  <c r="I228" i="31"/>
  <c r="H228" i="31"/>
  <c r="I227" i="31"/>
  <c r="H227" i="31"/>
  <c r="I226" i="31"/>
  <c r="H226" i="31"/>
  <c r="I225" i="31"/>
  <c r="H225" i="31"/>
  <c r="I224" i="31"/>
  <c r="H224" i="31"/>
  <c r="I223" i="31"/>
  <c r="H223" i="31"/>
  <c r="I222" i="31"/>
  <c r="H222" i="31"/>
  <c r="I221" i="31"/>
  <c r="H221" i="31"/>
  <c r="I220" i="31"/>
  <c r="H220" i="31"/>
  <c r="I219" i="31"/>
  <c r="H219" i="31"/>
  <c r="I218" i="31"/>
  <c r="H218" i="31"/>
  <c r="I217" i="31"/>
  <c r="H217" i="31"/>
  <c r="I216" i="31"/>
  <c r="H216" i="31"/>
  <c r="I215" i="31"/>
  <c r="H215" i="31"/>
  <c r="I214" i="31"/>
  <c r="H214" i="31"/>
  <c r="I213" i="31"/>
  <c r="H213" i="31"/>
  <c r="I212" i="31"/>
  <c r="H212" i="31"/>
  <c r="I211" i="31"/>
  <c r="H211" i="31"/>
  <c r="I210" i="31"/>
  <c r="H210" i="31"/>
  <c r="I209" i="31"/>
  <c r="H209" i="31"/>
  <c r="I208" i="31"/>
  <c r="H208" i="31"/>
  <c r="I207" i="31"/>
  <c r="H207" i="31"/>
  <c r="I206" i="31"/>
  <c r="H206" i="31"/>
  <c r="I205" i="31"/>
  <c r="H205" i="31"/>
  <c r="I204" i="31"/>
  <c r="H204" i="31"/>
  <c r="I203" i="31"/>
  <c r="H203" i="31"/>
  <c r="I202" i="31"/>
  <c r="H202" i="31"/>
  <c r="I201" i="31"/>
  <c r="H201" i="31"/>
  <c r="I200" i="31"/>
  <c r="H200" i="31"/>
  <c r="I199" i="31"/>
  <c r="H199" i="31"/>
  <c r="I198" i="31"/>
  <c r="H198" i="31"/>
  <c r="I197" i="31"/>
  <c r="H197" i="31"/>
  <c r="I196" i="31"/>
  <c r="H196" i="31"/>
  <c r="I195" i="31"/>
  <c r="H195" i="31"/>
  <c r="I194" i="31"/>
  <c r="H194" i="31"/>
  <c r="I193" i="31"/>
  <c r="H193" i="31"/>
  <c r="I192" i="31"/>
  <c r="H192" i="31"/>
  <c r="I191" i="31"/>
  <c r="H191" i="31"/>
  <c r="I190" i="31"/>
  <c r="H190" i="31"/>
  <c r="I189" i="31"/>
  <c r="H189" i="31"/>
  <c r="I188" i="31"/>
  <c r="H188" i="31"/>
  <c r="I187" i="31"/>
  <c r="H187" i="31"/>
  <c r="I186" i="31"/>
  <c r="H186" i="31"/>
  <c r="I185" i="31"/>
  <c r="H185" i="31"/>
  <c r="I184" i="31"/>
  <c r="H184" i="31"/>
  <c r="I183" i="31"/>
  <c r="H183" i="31"/>
  <c r="I182" i="31"/>
  <c r="H182" i="31"/>
  <c r="I181" i="31"/>
  <c r="H181" i="31"/>
  <c r="I180" i="31"/>
  <c r="H180" i="31"/>
  <c r="I179" i="31"/>
  <c r="H179" i="31"/>
  <c r="I178" i="31"/>
  <c r="H178" i="31"/>
  <c r="I177" i="31"/>
  <c r="H177" i="31"/>
  <c r="I176" i="31"/>
  <c r="H176" i="31"/>
  <c r="I175" i="31"/>
  <c r="H175" i="31"/>
  <c r="I174" i="31"/>
  <c r="H174" i="31"/>
  <c r="I173" i="31"/>
  <c r="H173" i="31"/>
  <c r="I172" i="31"/>
  <c r="H172" i="31"/>
  <c r="I171" i="31"/>
  <c r="H171" i="31"/>
  <c r="I170" i="31"/>
  <c r="H170" i="31"/>
  <c r="I169" i="31"/>
  <c r="H169" i="31"/>
  <c r="I168" i="31"/>
  <c r="H168" i="31"/>
  <c r="I167" i="31"/>
  <c r="H167" i="31"/>
  <c r="I166" i="31"/>
  <c r="H166" i="31"/>
  <c r="I165" i="31"/>
  <c r="H165" i="31"/>
  <c r="I164" i="31"/>
  <c r="H164" i="31"/>
  <c r="I163" i="31"/>
  <c r="H163" i="31"/>
  <c r="I162" i="31"/>
  <c r="H162" i="31"/>
  <c r="I161" i="31"/>
  <c r="H161" i="31"/>
  <c r="I160" i="31"/>
  <c r="H160" i="31"/>
  <c r="I159" i="31"/>
  <c r="H159" i="31"/>
  <c r="I158" i="31"/>
  <c r="H158" i="31"/>
  <c r="I157" i="31"/>
  <c r="H157" i="31"/>
  <c r="I156" i="31"/>
  <c r="H156" i="31"/>
  <c r="I155" i="31"/>
  <c r="H155" i="31"/>
  <c r="I154" i="31"/>
  <c r="H154" i="31"/>
  <c r="I153" i="31"/>
  <c r="H153" i="31"/>
  <c r="I152" i="31"/>
  <c r="H152" i="31"/>
  <c r="I151" i="31"/>
  <c r="H151" i="31"/>
  <c r="I150" i="31"/>
  <c r="H150" i="31"/>
  <c r="I149" i="31"/>
  <c r="H149" i="31"/>
  <c r="I148" i="31"/>
  <c r="H148" i="31"/>
  <c r="I147" i="31"/>
  <c r="H147" i="31"/>
  <c r="I146" i="31"/>
  <c r="H146" i="31"/>
  <c r="I145" i="31"/>
  <c r="H145" i="31"/>
  <c r="I144" i="31"/>
  <c r="H144" i="31"/>
  <c r="I143" i="31"/>
  <c r="H143" i="31"/>
  <c r="I142" i="31"/>
  <c r="H142" i="31"/>
  <c r="I141" i="31"/>
  <c r="H141" i="31"/>
  <c r="I140" i="31"/>
  <c r="H140" i="31"/>
  <c r="I139" i="31"/>
  <c r="H139" i="31"/>
  <c r="I138" i="31"/>
  <c r="H138" i="31"/>
  <c r="I137" i="31"/>
  <c r="H137" i="31"/>
  <c r="I136" i="31"/>
  <c r="H136" i="31"/>
  <c r="I135" i="31"/>
  <c r="H135" i="31"/>
  <c r="I134" i="31"/>
  <c r="H134" i="31"/>
  <c r="I133" i="31"/>
  <c r="H133" i="31"/>
  <c r="I132" i="31"/>
  <c r="H132" i="31"/>
  <c r="I131" i="31"/>
  <c r="H131" i="31"/>
  <c r="I130" i="31"/>
  <c r="H130" i="31"/>
  <c r="I129" i="31"/>
  <c r="H129" i="31"/>
  <c r="I128" i="31"/>
  <c r="H128" i="31"/>
  <c r="I127" i="31"/>
  <c r="H127" i="31"/>
  <c r="I126" i="31"/>
  <c r="H126" i="31"/>
  <c r="I125" i="31"/>
  <c r="H125" i="31"/>
  <c r="I124" i="31"/>
  <c r="H124" i="31"/>
  <c r="I123" i="31"/>
  <c r="H123" i="31"/>
  <c r="I122" i="31"/>
  <c r="H122" i="31"/>
  <c r="I121" i="31"/>
  <c r="H121" i="31"/>
  <c r="I120" i="31"/>
  <c r="H120" i="31"/>
  <c r="I119" i="31"/>
  <c r="H119" i="31"/>
  <c r="I118" i="31"/>
  <c r="H118" i="31"/>
  <c r="I117" i="31"/>
  <c r="H117" i="31"/>
  <c r="I116" i="31"/>
  <c r="H116" i="31"/>
  <c r="I115" i="31"/>
  <c r="H115" i="31"/>
  <c r="I114" i="31"/>
  <c r="H114" i="31"/>
  <c r="I113" i="31"/>
  <c r="H113" i="31"/>
  <c r="I112" i="31"/>
  <c r="H112" i="31"/>
  <c r="I111" i="31"/>
  <c r="H111" i="31"/>
  <c r="I110" i="31"/>
  <c r="H110" i="31"/>
  <c r="I109" i="31"/>
  <c r="H109" i="31"/>
  <c r="I108" i="31"/>
  <c r="H108" i="31"/>
  <c r="I107" i="31"/>
  <c r="H107" i="31"/>
  <c r="I106" i="31"/>
  <c r="H106" i="31"/>
  <c r="I105" i="31"/>
  <c r="H105" i="31"/>
  <c r="I104" i="31"/>
  <c r="H104" i="31"/>
  <c r="I103" i="31"/>
  <c r="H103" i="31"/>
  <c r="I102" i="31"/>
  <c r="H102" i="31"/>
  <c r="I101" i="31"/>
  <c r="H101" i="31"/>
  <c r="I100" i="31"/>
  <c r="H100" i="31"/>
  <c r="I99" i="31"/>
  <c r="H99" i="31"/>
  <c r="I98" i="31"/>
  <c r="H98" i="31"/>
  <c r="I97" i="31"/>
  <c r="H97" i="31"/>
  <c r="I96" i="31"/>
  <c r="H96" i="31"/>
  <c r="I95" i="31"/>
  <c r="H95" i="31"/>
  <c r="I94" i="31"/>
  <c r="H94" i="31"/>
  <c r="I93" i="31"/>
  <c r="H93" i="31"/>
  <c r="I92" i="31"/>
  <c r="H92" i="31"/>
  <c r="I91" i="31"/>
  <c r="H91" i="31"/>
  <c r="I90" i="31"/>
  <c r="H90" i="31"/>
  <c r="I89" i="31"/>
  <c r="H89" i="31"/>
  <c r="I88" i="31"/>
  <c r="H88" i="31"/>
  <c r="I87" i="31"/>
  <c r="H87" i="31"/>
  <c r="I86" i="31"/>
  <c r="H86" i="31"/>
  <c r="I85" i="31"/>
  <c r="H85" i="31"/>
  <c r="I84" i="31"/>
  <c r="H84" i="31"/>
  <c r="I83" i="31"/>
  <c r="H83" i="31"/>
  <c r="I82" i="31"/>
  <c r="H82" i="31"/>
  <c r="I81" i="31"/>
  <c r="H81" i="31"/>
  <c r="I80" i="31"/>
  <c r="H80" i="31"/>
  <c r="I79" i="31"/>
  <c r="H79" i="31"/>
  <c r="I78" i="31"/>
  <c r="H78" i="31"/>
  <c r="I77" i="31"/>
  <c r="H77" i="31"/>
  <c r="I76" i="31"/>
  <c r="H76" i="31"/>
  <c r="I75" i="31"/>
  <c r="H75" i="31"/>
  <c r="I74" i="31"/>
  <c r="H74" i="31"/>
  <c r="I73" i="31"/>
  <c r="H73" i="31"/>
  <c r="I72" i="31"/>
  <c r="H72" i="31"/>
  <c r="I71" i="31"/>
  <c r="H71" i="31"/>
  <c r="I70" i="31"/>
  <c r="H70" i="31"/>
  <c r="I69" i="31"/>
  <c r="H69" i="31"/>
  <c r="I68" i="31"/>
  <c r="H68" i="31"/>
  <c r="I67" i="31"/>
  <c r="H67" i="31"/>
  <c r="I66" i="31"/>
  <c r="H66" i="31"/>
  <c r="I65" i="31"/>
  <c r="H65" i="31"/>
  <c r="I64" i="31"/>
  <c r="H64" i="31"/>
  <c r="I63" i="31"/>
  <c r="H63" i="31"/>
  <c r="I62" i="31"/>
  <c r="H62" i="31"/>
  <c r="I61" i="31"/>
  <c r="H61" i="31"/>
  <c r="I60" i="31"/>
  <c r="H60" i="31"/>
  <c r="I59" i="31"/>
  <c r="H59" i="31"/>
  <c r="I58" i="31"/>
  <c r="H58" i="31"/>
  <c r="I57" i="31"/>
  <c r="H57" i="31"/>
  <c r="I56" i="31"/>
  <c r="H56" i="31"/>
  <c r="I55" i="31"/>
  <c r="H55" i="31"/>
  <c r="I54" i="31"/>
  <c r="H54" i="31"/>
  <c r="I53" i="31"/>
  <c r="H53" i="31"/>
  <c r="I52" i="31"/>
  <c r="H52" i="31"/>
  <c r="I51" i="31"/>
  <c r="H51" i="31"/>
  <c r="I50" i="31"/>
  <c r="H50" i="31"/>
  <c r="I49" i="31"/>
  <c r="H49" i="31"/>
  <c r="I48" i="31"/>
  <c r="H48" i="31"/>
  <c r="I47" i="31"/>
  <c r="H47" i="31"/>
  <c r="I46" i="31"/>
  <c r="H46" i="31"/>
  <c r="I45" i="31"/>
  <c r="H45" i="31"/>
  <c r="I44" i="31"/>
  <c r="H44" i="31"/>
  <c r="I43" i="31"/>
  <c r="H43" i="31"/>
  <c r="I42" i="31"/>
  <c r="H42" i="31"/>
  <c r="I41" i="31"/>
  <c r="H41" i="31"/>
  <c r="I40" i="31"/>
  <c r="H40" i="31"/>
  <c r="I39" i="31"/>
  <c r="H39" i="31"/>
  <c r="I38" i="31"/>
  <c r="H38" i="31"/>
  <c r="I37" i="31"/>
  <c r="H37" i="31"/>
  <c r="I36" i="31"/>
  <c r="H36" i="31"/>
  <c r="I35" i="31"/>
  <c r="H35" i="31"/>
  <c r="I34" i="31"/>
  <c r="H34" i="31"/>
  <c r="I33" i="31"/>
  <c r="H33" i="31"/>
  <c r="I32" i="31"/>
  <c r="H32" i="31"/>
  <c r="I31" i="31"/>
  <c r="H31" i="31"/>
  <c r="I30" i="31"/>
  <c r="H30" i="31"/>
  <c r="I29" i="31"/>
  <c r="H29" i="31"/>
  <c r="I28" i="31"/>
  <c r="H28" i="31"/>
  <c r="I27" i="31"/>
  <c r="H27" i="31"/>
  <c r="I26" i="31"/>
  <c r="H26" i="31"/>
  <c r="I25" i="31"/>
  <c r="H25" i="31"/>
  <c r="I24" i="31"/>
  <c r="H24" i="31"/>
  <c r="I23" i="31"/>
  <c r="H23" i="31"/>
  <c r="I22" i="31"/>
  <c r="H22" i="31"/>
  <c r="I21" i="31"/>
  <c r="H21" i="31"/>
  <c r="I20" i="31"/>
  <c r="H20" i="31"/>
  <c r="I19" i="31"/>
  <c r="H19" i="31"/>
  <c r="I18" i="31"/>
  <c r="H18" i="31"/>
  <c r="I17" i="31"/>
  <c r="H17" i="31"/>
  <c r="I16" i="31"/>
  <c r="H16" i="31"/>
  <c r="I15" i="31"/>
  <c r="H15" i="31"/>
  <c r="I14" i="31"/>
  <c r="H14" i="31"/>
  <c r="I13" i="31"/>
  <c r="H13" i="31"/>
  <c r="I12" i="31"/>
  <c r="H12" i="31"/>
  <c r="I11" i="31"/>
  <c r="H11" i="31"/>
  <c r="I10" i="31"/>
  <c r="H10" i="31"/>
  <c r="I9" i="31"/>
  <c r="H9" i="31"/>
  <c r="I8" i="31"/>
  <c r="H8" i="31"/>
  <c r="I7" i="31"/>
  <c r="H7" i="31"/>
  <c r="I6" i="31"/>
  <c r="H6" i="31"/>
  <c r="I5" i="31"/>
  <c r="H5" i="31"/>
  <c r="I4" i="31"/>
  <c r="H4" i="31"/>
  <c r="I3" i="31"/>
  <c r="J1" i="31" s="1"/>
  <c r="H3" i="31"/>
  <c r="H1" i="31" s="1"/>
  <c r="G23" i="30"/>
  <c r="E23" i="30"/>
  <c r="K22" i="30"/>
  <c r="H22" i="30"/>
  <c r="G22" i="30"/>
  <c r="K21" i="30"/>
  <c r="H21" i="30"/>
  <c r="G21" i="30"/>
  <c r="K20" i="30"/>
  <c r="H20" i="30"/>
  <c r="G20" i="30"/>
  <c r="K19" i="30"/>
  <c r="H19" i="30"/>
  <c r="G19" i="30"/>
  <c r="K18" i="30"/>
  <c r="H18" i="30"/>
  <c r="G18" i="30"/>
  <c r="K17" i="30"/>
  <c r="H17" i="30"/>
  <c r="G17" i="30"/>
  <c r="K16" i="30"/>
  <c r="H16" i="30"/>
  <c r="G16" i="30"/>
  <c r="K15" i="30"/>
  <c r="H15" i="30"/>
  <c r="G15" i="30"/>
  <c r="K14" i="30"/>
  <c r="H14" i="30"/>
  <c r="G14" i="30"/>
  <c r="K13" i="30"/>
  <c r="H13" i="30"/>
  <c r="G13" i="30"/>
  <c r="K12" i="30"/>
  <c r="H12" i="30"/>
  <c r="G12" i="30"/>
  <c r="K11" i="30"/>
  <c r="H11" i="30"/>
  <c r="G11" i="30"/>
  <c r="K10" i="30"/>
  <c r="H10" i="30"/>
  <c r="G10" i="30"/>
  <c r="K9" i="30"/>
  <c r="H9" i="30"/>
  <c r="G9" i="30"/>
  <c r="K8" i="30"/>
  <c r="H8" i="30"/>
  <c r="G8" i="30"/>
  <c r="K7" i="30"/>
  <c r="H7" i="30"/>
  <c r="G7" i="30"/>
  <c r="K6" i="30"/>
  <c r="H6" i="30"/>
  <c r="G6" i="30"/>
  <c r="K5" i="30"/>
  <c r="H5" i="30"/>
  <c r="G5" i="30"/>
  <c r="K4" i="30"/>
  <c r="H4" i="30"/>
  <c r="G4" i="30"/>
  <c r="K3" i="30"/>
  <c r="H3" i="30"/>
  <c r="G3" i="30"/>
  <c r="C152" i="29"/>
  <c r="C151" i="29"/>
  <c r="C150" i="29"/>
  <c r="C149" i="29"/>
  <c r="C148" i="29"/>
  <c r="C147" i="29"/>
  <c r="C146" i="29"/>
  <c r="C145" i="29"/>
  <c r="C144" i="29"/>
  <c r="C143" i="29"/>
  <c r="C142" i="29"/>
  <c r="C141" i="29"/>
  <c r="C140" i="29"/>
  <c r="C139" i="29"/>
  <c r="C138" i="29"/>
  <c r="C137" i="29"/>
  <c r="C136" i="29"/>
  <c r="C135" i="29"/>
  <c r="C134" i="29"/>
  <c r="C133" i="29"/>
  <c r="C132" i="29"/>
  <c r="C131" i="29"/>
  <c r="C130" i="29"/>
  <c r="C129" i="29"/>
  <c r="C128" i="29"/>
  <c r="C127" i="29"/>
  <c r="C126" i="29"/>
  <c r="C125" i="29"/>
  <c r="C124" i="29"/>
  <c r="C123" i="29"/>
  <c r="C122" i="29"/>
  <c r="C121" i="29"/>
  <c r="C120" i="29"/>
  <c r="C119" i="29"/>
  <c r="C118" i="29"/>
  <c r="C117" i="29"/>
  <c r="C116" i="29"/>
  <c r="C115" i="29"/>
  <c r="C114" i="29"/>
  <c r="C113" i="29"/>
  <c r="C112" i="29"/>
  <c r="C111" i="29"/>
  <c r="C110" i="29"/>
  <c r="C109" i="29"/>
  <c r="C108" i="29"/>
  <c r="C107" i="29"/>
  <c r="C106" i="29"/>
  <c r="C105" i="29"/>
  <c r="C104" i="29"/>
  <c r="C103" i="29"/>
  <c r="C102" i="29"/>
  <c r="C101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8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C4" i="29"/>
  <c r="C3" i="29"/>
  <c r="G202" i="28"/>
  <c r="H202" i="28" s="1"/>
  <c r="F202" i="28"/>
  <c r="G201" i="28"/>
  <c r="H201" i="28" s="1"/>
  <c r="F201" i="28"/>
  <c r="G200" i="28"/>
  <c r="H200" i="28" s="1"/>
  <c r="F200" i="28"/>
  <c r="G199" i="28"/>
  <c r="H199" i="28" s="1"/>
  <c r="F199" i="28"/>
  <c r="G198" i="28"/>
  <c r="H198" i="28" s="1"/>
  <c r="F198" i="28"/>
  <c r="G197" i="28"/>
  <c r="H197" i="28" s="1"/>
  <c r="F197" i="28"/>
  <c r="G196" i="28"/>
  <c r="H196" i="28" s="1"/>
  <c r="F196" i="28"/>
  <c r="G195" i="28"/>
  <c r="H195" i="28" s="1"/>
  <c r="F195" i="28"/>
  <c r="G194" i="28"/>
  <c r="H194" i="28" s="1"/>
  <c r="F194" i="28"/>
  <c r="G193" i="28"/>
  <c r="H193" i="28" s="1"/>
  <c r="F193" i="28"/>
  <c r="G192" i="28"/>
  <c r="H192" i="28" s="1"/>
  <c r="F192" i="28"/>
  <c r="G191" i="28"/>
  <c r="H191" i="28" s="1"/>
  <c r="F191" i="28"/>
  <c r="G190" i="28"/>
  <c r="H190" i="28" s="1"/>
  <c r="F190" i="28"/>
  <c r="G189" i="28"/>
  <c r="H189" i="28" s="1"/>
  <c r="F189" i="28"/>
  <c r="G188" i="28"/>
  <c r="H188" i="28" s="1"/>
  <c r="F188" i="28"/>
  <c r="G187" i="28"/>
  <c r="H187" i="28" s="1"/>
  <c r="F187" i="28"/>
  <c r="G186" i="28"/>
  <c r="H186" i="28" s="1"/>
  <c r="F186" i="28"/>
  <c r="G185" i="28"/>
  <c r="H185" i="28" s="1"/>
  <c r="F185" i="28"/>
  <c r="G184" i="28"/>
  <c r="H184" i="28" s="1"/>
  <c r="F184" i="28"/>
  <c r="G183" i="28"/>
  <c r="H183" i="28" s="1"/>
  <c r="F183" i="28"/>
  <c r="G182" i="28"/>
  <c r="H182" i="28" s="1"/>
  <c r="F182" i="28"/>
  <c r="G181" i="28"/>
  <c r="H181" i="28" s="1"/>
  <c r="F181" i="28"/>
  <c r="G180" i="28"/>
  <c r="H180" i="28" s="1"/>
  <c r="F180" i="28"/>
  <c r="G179" i="28"/>
  <c r="H179" i="28" s="1"/>
  <c r="F179" i="28"/>
  <c r="G178" i="28"/>
  <c r="H178" i="28" s="1"/>
  <c r="F178" i="28"/>
  <c r="G177" i="28"/>
  <c r="H177" i="28" s="1"/>
  <c r="F177" i="28"/>
  <c r="G176" i="28"/>
  <c r="H176" i="28" s="1"/>
  <c r="F176" i="28"/>
  <c r="G175" i="28"/>
  <c r="H175" i="28" s="1"/>
  <c r="F175" i="28"/>
  <c r="G174" i="28"/>
  <c r="H174" i="28" s="1"/>
  <c r="F174" i="28"/>
  <c r="G173" i="28"/>
  <c r="H173" i="28" s="1"/>
  <c r="F173" i="28"/>
  <c r="G172" i="28"/>
  <c r="H172" i="28" s="1"/>
  <c r="F172" i="28"/>
  <c r="G171" i="28"/>
  <c r="H171" i="28" s="1"/>
  <c r="F171" i="28"/>
  <c r="G170" i="28"/>
  <c r="H170" i="28" s="1"/>
  <c r="F170" i="28"/>
  <c r="G169" i="28"/>
  <c r="H169" i="28" s="1"/>
  <c r="F169" i="28"/>
  <c r="G168" i="28"/>
  <c r="H168" i="28" s="1"/>
  <c r="F168" i="28"/>
  <c r="G167" i="28"/>
  <c r="H167" i="28" s="1"/>
  <c r="F167" i="28"/>
  <c r="G166" i="28"/>
  <c r="H166" i="28" s="1"/>
  <c r="F166" i="28"/>
  <c r="G165" i="28"/>
  <c r="H165" i="28" s="1"/>
  <c r="F165" i="28"/>
  <c r="G164" i="28"/>
  <c r="H164" i="28" s="1"/>
  <c r="F164" i="28"/>
  <c r="G163" i="28"/>
  <c r="H163" i="28" s="1"/>
  <c r="F163" i="28"/>
  <c r="G162" i="28"/>
  <c r="H162" i="28" s="1"/>
  <c r="F162" i="28"/>
  <c r="G161" i="28"/>
  <c r="H161" i="28" s="1"/>
  <c r="F161" i="28"/>
  <c r="G160" i="28"/>
  <c r="H160" i="28" s="1"/>
  <c r="F160" i="28"/>
  <c r="G159" i="28"/>
  <c r="H159" i="28" s="1"/>
  <c r="F159" i="28"/>
  <c r="G158" i="28"/>
  <c r="H158" i="28" s="1"/>
  <c r="F158" i="28"/>
  <c r="G157" i="28"/>
  <c r="H157" i="28" s="1"/>
  <c r="F157" i="28"/>
  <c r="G156" i="28"/>
  <c r="H156" i="28" s="1"/>
  <c r="F156" i="28"/>
  <c r="G155" i="28"/>
  <c r="H155" i="28" s="1"/>
  <c r="F155" i="28"/>
  <c r="G154" i="28"/>
  <c r="H154" i="28" s="1"/>
  <c r="F154" i="28"/>
  <c r="G153" i="28"/>
  <c r="H153" i="28" s="1"/>
  <c r="F153" i="28"/>
  <c r="G152" i="28"/>
  <c r="H152" i="28" s="1"/>
  <c r="F152" i="28"/>
  <c r="G151" i="28"/>
  <c r="H151" i="28" s="1"/>
  <c r="F151" i="28"/>
  <c r="G150" i="28"/>
  <c r="H150" i="28" s="1"/>
  <c r="F150" i="28"/>
  <c r="G149" i="28"/>
  <c r="H149" i="28" s="1"/>
  <c r="F149" i="28"/>
  <c r="G148" i="28"/>
  <c r="H148" i="28" s="1"/>
  <c r="F148" i="28"/>
  <c r="G147" i="28"/>
  <c r="H147" i="28" s="1"/>
  <c r="F147" i="28"/>
  <c r="G146" i="28"/>
  <c r="H146" i="28" s="1"/>
  <c r="F146" i="28"/>
  <c r="G145" i="28"/>
  <c r="H145" i="28" s="1"/>
  <c r="F145" i="28"/>
  <c r="G144" i="28"/>
  <c r="H144" i="28" s="1"/>
  <c r="F144" i="28"/>
  <c r="G143" i="28"/>
  <c r="H143" i="28" s="1"/>
  <c r="F143" i="28"/>
  <c r="G142" i="28"/>
  <c r="H142" i="28" s="1"/>
  <c r="F142" i="28"/>
  <c r="G141" i="28"/>
  <c r="H141" i="28" s="1"/>
  <c r="F141" i="28"/>
  <c r="G140" i="28"/>
  <c r="H140" i="28" s="1"/>
  <c r="F140" i="28"/>
  <c r="G139" i="28"/>
  <c r="H139" i="28" s="1"/>
  <c r="F139" i="28"/>
  <c r="G138" i="28"/>
  <c r="H138" i="28" s="1"/>
  <c r="F138" i="28"/>
  <c r="G137" i="28"/>
  <c r="H137" i="28" s="1"/>
  <c r="F137" i="28"/>
  <c r="G136" i="28"/>
  <c r="H136" i="28" s="1"/>
  <c r="F136" i="28"/>
  <c r="G135" i="28"/>
  <c r="H135" i="28" s="1"/>
  <c r="F135" i="28"/>
  <c r="G134" i="28"/>
  <c r="H134" i="28" s="1"/>
  <c r="F134" i="28"/>
  <c r="G133" i="28"/>
  <c r="H133" i="28" s="1"/>
  <c r="F133" i="28"/>
  <c r="G132" i="28"/>
  <c r="H132" i="28" s="1"/>
  <c r="F132" i="28"/>
  <c r="G131" i="28"/>
  <c r="H131" i="28" s="1"/>
  <c r="F131" i="28"/>
  <c r="G130" i="28"/>
  <c r="H130" i="28" s="1"/>
  <c r="F130" i="28"/>
  <c r="G129" i="28"/>
  <c r="H129" i="28" s="1"/>
  <c r="F129" i="28"/>
  <c r="G128" i="28"/>
  <c r="H128" i="28" s="1"/>
  <c r="F128" i="28"/>
  <c r="G127" i="28"/>
  <c r="H127" i="28" s="1"/>
  <c r="F127" i="28"/>
  <c r="G126" i="28"/>
  <c r="H126" i="28" s="1"/>
  <c r="F126" i="28"/>
  <c r="G125" i="28"/>
  <c r="H125" i="28" s="1"/>
  <c r="F125" i="28"/>
  <c r="G124" i="28"/>
  <c r="H124" i="28" s="1"/>
  <c r="F124" i="28"/>
  <c r="G123" i="28"/>
  <c r="H123" i="28" s="1"/>
  <c r="F123" i="28"/>
  <c r="G122" i="28"/>
  <c r="H122" i="28" s="1"/>
  <c r="F122" i="28"/>
  <c r="G121" i="28"/>
  <c r="H121" i="28" s="1"/>
  <c r="F121" i="28"/>
  <c r="G120" i="28"/>
  <c r="H120" i="28" s="1"/>
  <c r="F120" i="28"/>
  <c r="G119" i="28"/>
  <c r="H119" i="28" s="1"/>
  <c r="F119" i="28"/>
  <c r="G118" i="28"/>
  <c r="H118" i="28" s="1"/>
  <c r="F118" i="28"/>
  <c r="G117" i="28"/>
  <c r="H117" i="28" s="1"/>
  <c r="F117" i="28"/>
  <c r="G116" i="28"/>
  <c r="H116" i="28" s="1"/>
  <c r="F116" i="28"/>
  <c r="G115" i="28"/>
  <c r="H115" i="28" s="1"/>
  <c r="F115" i="28"/>
  <c r="G114" i="28"/>
  <c r="H114" i="28" s="1"/>
  <c r="F114" i="28"/>
  <c r="G113" i="28"/>
  <c r="H113" i="28" s="1"/>
  <c r="F113" i="28"/>
  <c r="G112" i="28"/>
  <c r="H112" i="28" s="1"/>
  <c r="F112" i="28"/>
  <c r="G111" i="28"/>
  <c r="H111" i="28" s="1"/>
  <c r="F111" i="28"/>
  <c r="G110" i="28"/>
  <c r="H110" i="28" s="1"/>
  <c r="F110" i="28"/>
  <c r="G109" i="28"/>
  <c r="H109" i="28" s="1"/>
  <c r="F109" i="28"/>
  <c r="G108" i="28"/>
  <c r="H108" i="28" s="1"/>
  <c r="F108" i="28"/>
  <c r="G107" i="28"/>
  <c r="H107" i="28" s="1"/>
  <c r="F107" i="28"/>
  <c r="G106" i="28"/>
  <c r="H106" i="28" s="1"/>
  <c r="F106" i="28"/>
  <c r="G105" i="28"/>
  <c r="H105" i="28" s="1"/>
  <c r="F105" i="28"/>
  <c r="G104" i="28"/>
  <c r="H104" i="28" s="1"/>
  <c r="F104" i="28"/>
  <c r="G103" i="28"/>
  <c r="H103" i="28" s="1"/>
  <c r="F103" i="28"/>
  <c r="G102" i="28"/>
  <c r="H102" i="28" s="1"/>
  <c r="F102" i="28"/>
  <c r="G101" i="28"/>
  <c r="H101" i="28" s="1"/>
  <c r="F101" i="28"/>
  <c r="G100" i="28"/>
  <c r="H100" i="28" s="1"/>
  <c r="F100" i="28"/>
  <c r="G99" i="28"/>
  <c r="H99" i="28" s="1"/>
  <c r="F99" i="28"/>
  <c r="G98" i="28"/>
  <c r="H98" i="28" s="1"/>
  <c r="F98" i="28"/>
  <c r="G97" i="28"/>
  <c r="H97" i="28" s="1"/>
  <c r="F97" i="28"/>
  <c r="G96" i="28"/>
  <c r="H96" i="28" s="1"/>
  <c r="F96" i="28"/>
  <c r="G95" i="28"/>
  <c r="H95" i="28" s="1"/>
  <c r="F95" i="28"/>
  <c r="G94" i="28"/>
  <c r="H94" i="28" s="1"/>
  <c r="F94" i="28"/>
  <c r="G93" i="28"/>
  <c r="H93" i="28" s="1"/>
  <c r="F93" i="28"/>
  <c r="G92" i="28"/>
  <c r="H92" i="28" s="1"/>
  <c r="F92" i="28"/>
  <c r="G91" i="28"/>
  <c r="H91" i="28" s="1"/>
  <c r="F91" i="28"/>
  <c r="G90" i="28"/>
  <c r="H90" i="28" s="1"/>
  <c r="F90" i="28"/>
  <c r="G89" i="28"/>
  <c r="H89" i="28" s="1"/>
  <c r="F89" i="28"/>
  <c r="G88" i="28"/>
  <c r="H88" i="28" s="1"/>
  <c r="F88" i="28"/>
  <c r="G87" i="28"/>
  <c r="H87" i="28" s="1"/>
  <c r="F87" i="28"/>
  <c r="G86" i="28"/>
  <c r="H86" i="28" s="1"/>
  <c r="F86" i="28"/>
  <c r="G85" i="28"/>
  <c r="H85" i="28" s="1"/>
  <c r="F85" i="28"/>
  <c r="G84" i="28"/>
  <c r="H84" i="28" s="1"/>
  <c r="F84" i="28"/>
  <c r="G83" i="28"/>
  <c r="H83" i="28" s="1"/>
  <c r="F83" i="28"/>
  <c r="G82" i="28"/>
  <c r="H82" i="28" s="1"/>
  <c r="F82" i="28"/>
  <c r="G81" i="28"/>
  <c r="H81" i="28" s="1"/>
  <c r="F81" i="28"/>
  <c r="G80" i="28"/>
  <c r="H80" i="28" s="1"/>
  <c r="F80" i="28"/>
  <c r="G79" i="28"/>
  <c r="H79" i="28" s="1"/>
  <c r="F79" i="28"/>
  <c r="G78" i="28"/>
  <c r="H78" i="28" s="1"/>
  <c r="F78" i="28"/>
  <c r="G77" i="28"/>
  <c r="H77" i="28" s="1"/>
  <c r="F77" i="28"/>
  <c r="G76" i="28"/>
  <c r="H76" i="28" s="1"/>
  <c r="F76" i="28"/>
  <c r="G75" i="28"/>
  <c r="H75" i="28" s="1"/>
  <c r="F75" i="28"/>
  <c r="G74" i="28"/>
  <c r="H74" i="28" s="1"/>
  <c r="F74" i="28"/>
  <c r="G73" i="28"/>
  <c r="H73" i="28" s="1"/>
  <c r="F73" i="28"/>
  <c r="G72" i="28"/>
  <c r="H72" i="28" s="1"/>
  <c r="F72" i="28"/>
  <c r="G71" i="28"/>
  <c r="H71" i="28" s="1"/>
  <c r="F71" i="28"/>
  <c r="G70" i="28"/>
  <c r="H70" i="28" s="1"/>
  <c r="F70" i="28"/>
  <c r="G69" i="28"/>
  <c r="H69" i="28" s="1"/>
  <c r="F69" i="28"/>
  <c r="G68" i="28"/>
  <c r="H68" i="28" s="1"/>
  <c r="F68" i="28"/>
  <c r="G67" i="28"/>
  <c r="H67" i="28" s="1"/>
  <c r="F67" i="28"/>
  <c r="G66" i="28"/>
  <c r="H66" i="28" s="1"/>
  <c r="F66" i="28"/>
  <c r="G65" i="28"/>
  <c r="H65" i="28" s="1"/>
  <c r="F65" i="28"/>
  <c r="G64" i="28"/>
  <c r="H64" i="28" s="1"/>
  <c r="F64" i="28"/>
  <c r="G63" i="28"/>
  <c r="H63" i="28" s="1"/>
  <c r="F63" i="28"/>
  <c r="G62" i="28"/>
  <c r="H62" i="28" s="1"/>
  <c r="F62" i="28"/>
  <c r="G61" i="28"/>
  <c r="H61" i="28" s="1"/>
  <c r="F61" i="28"/>
  <c r="G60" i="28"/>
  <c r="H60" i="28" s="1"/>
  <c r="F60" i="28"/>
  <c r="G59" i="28"/>
  <c r="H59" i="28" s="1"/>
  <c r="F59" i="28"/>
  <c r="G58" i="28"/>
  <c r="H58" i="28" s="1"/>
  <c r="F58" i="28"/>
  <c r="G57" i="28"/>
  <c r="H57" i="28" s="1"/>
  <c r="F57" i="28"/>
  <c r="G56" i="28"/>
  <c r="H56" i="28" s="1"/>
  <c r="F56" i="28"/>
  <c r="G55" i="28"/>
  <c r="H55" i="28" s="1"/>
  <c r="F55" i="28"/>
  <c r="G54" i="28"/>
  <c r="H54" i="28" s="1"/>
  <c r="F54" i="28"/>
  <c r="G53" i="28"/>
  <c r="H53" i="28" s="1"/>
  <c r="F53" i="28"/>
  <c r="G52" i="28"/>
  <c r="H52" i="28" s="1"/>
  <c r="F52" i="28"/>
  <c r="G51" i="28"/>
  <c r="H51" i="28" s="1"/>
  <c r="F51" i="28"/>
  <c r="G50" i="28"/>
  <c r="H50" i="28" s="1"/>
  <c r="F50" i="28"/>
  <c r="G49" i="28"/>
  <c r="H49" i="28" s="1"/>
  <c r="F49" i="28"/>
  <c r="G48" i="28"/>
  <c r="H48" i="28" s="1"/>
  <c r="F48" i="28"/>
  <c r="G47" i="28"/>
  <c r="H47" i="28" s="1"/>
  <c r="F47" i="28"/>
  <c r="G46" i="28"/>
  <c r="H46" i="28" s="1"/>
  <c r="F46" i="28"/>
  <c r="G45" i="28"/>
  <c r="H45" i="28" s="1"/>
  <c r="F45" i="28"/>
  <c r="G44" i="28"/>
  <c r="H44" i="28" s="1"/>
  <c r="F44" i="28"/>
  <c r="G43" i="28"/>
  <c r="H43" i="28" s="1"/>
  <c r="F43" i="28"/>
  <c r="G42" i="28"/>
  <c r="H42" i="28" s="1"/>
  <c r="F42" i="28"/>
  <c r="G41" i="28"/>
  <c r="H41" i="28" s="1"/>
  <c r="F41" i="28"/>
  <c r="G40" i="28"/>
  <c r="H40" i="28" s="1"/>
  <c r="F40" i="28"/>
  <c r="G39" i="28"/>
  <c r="H39" i="28" s="1"/>
  <c r="F39" i="28"/>
  <c r="G38" i="28"/>
  <c r="H38" i="28" s="1"/>
  <c r="F38" i="28"/>
  <c r="G37" i="28"/>
  <c r="H37" i="28" s="1"/>
  <c r="F37" i="28"/>
  <c r="G36" i="28"/>
  <c r="H36" i="28" s="1"/>
  <c r="F36" i="28"/>
  <c r="G35" i="28"/>
  <c r="H35" i="28" s="1"/>
  <c r="F35" i="28"/>
  <c r="G34" i="28"/>
  <c r="H34" i="28" s="1"/>
  <c r="F34" i="28"/>
  <c r="G33" i="28"/>
  <c r="H33" i="28" s="1"/>
  <c r="F33" i="28"/>
  <c r="G32" i="28"/>
  <c r="H32" i="28" s="1"/>
  <c r="F32" i="28"/>
  <c r="G31" i="28"/>
  <c r="H31" i="28" s="1"/>
  <c r="F31" i="28"/>
  <c r="G30" i="28"/>
  <c r="H30" i="28" s="1"/>
  <c r="F30" i="28"/>
  <c r="G29" i="28"/>
  <c r="H29" i="28" s="1"/>
  <c r="F29" i="28"/>
  <c r="G28" i="28"/>
  <c r="H28" i="28" s="1"/>
  <c r="F28" i="28"/>
  <c r="G27" i="28"/>
  <c r="H27" i="28" s="1"/>
  <c r="F27" i="28"/>
  <c r="G26" i="28"/>
  <c r="H26" i="28" s="1"/>
  <c r="F26" i="28"/>
  <c r="G25" i="28"/>
  <c r="H25" i="28" s="1"/>
  <c r="F25" i="28"/>
  <c r="G24" i="28"/>
  <c r="H24" i="28" s="1"/>
  <c r="F24" i="28"/>
  <c r="G23" i="28"/>
  <c r="H23" i="28" s="1"/>
  <c r="F23" i="28"/>
  <c r="G22" i="28"/>
  <c r="H22" i="28" s="1"/>
  <c r="F22" i="28"/>
  <c r="G21" i="28"/>
  <c r="H21" i="28" s="1"/>
  <c r="F21" i="28"/>
  <c r="G20" i="28"/>
  <c r="H20" i="28" s="1"/>
  <c r="F20" i="28"/>
  <c r="G19" i="28"/>
  <c r="H19" i="28" s="1"/>
  <c r="F19" i="28"/>
  <c r="G18" i="28"/>
  <c r="H18" i="28" s="1"/>
  <c r="F18" i="28"/>
  <c r="G17" i="28"/>
  <c r="H17" i="28" s="1"/>
  <c r="F17" i="28"/>
  <c r="G16" i="28"/>
  <c r="H16" i="28" s="1"/>
  <c r="F16" i="28"/>
  <c r="G15" i="28"/>
  <c r="H15" i="28" s="1"/>
  <c r="F15" i="28"/>
  <c r="G14" i="28"/>
  <c r="H14" i="28" s="1"/>
  <c r="F14" i="28"/>
  <c r="G13" i="28"/>
  <c r="H13" i="28" s="1"/>
  <c r="F13" i="28"/>
  <c r="F12" i="28"/>
  <c r="G12" i="28" s="1"/>
  <c r="H12" i="28" s="1"/>
  <c r="F11" i="28"/>
  <c r="G11" i="28" s="1"/>
  <c r="H11" i="28" s="1"/>
  <c r="F10" i="28"/>
  <c r="G10" i="28" s="1"/>
  <c r="H10" i="28" s="1"/>
  <c r="F9" i="28"/>
  <c r="G9" i="28" s="1"/>
  <c r="H9" i="28" s="1"/>
  <c r="F8" i="28"/>
  <c r="G8" i="28" s="1"/>
  <c r="H8" i="28" s="1"/>
  <c r="F7" i="28"/>
  <c r="G7" i="28" s="1"/>
  <c r="H7" i="28" s="1"/>
  <c r="F6" i="28"/>
  <c r="G6" i="28" s="1"/>
  <c r="H6" i="28" s="1"/>
  <c r="F5" i="28"/>
  <c r="G5" i="28" s="1"/>
  <c r="H5" i="28" s="1"/>
  <c r="F4" i="28"/>
  <c r="G4" i="28" s="1"/>
  <c r="H4" i="28" s="1"/>
  <c r="F3" i="28"/>
  <c r="G3" i="28" s="1"/>
  <c r="H3" i="28" s="1"/>
  <c r="F41" i="27"/>
  <c r="F40" i="27"/>
  <c r="F37" i="27"/>
  <c r="F36" i="27"/>
  <c r="F33" i="27"/>
  <c r="E11" i="27"/>
  <c r="D11" i="27"/>
  <c r="G11" i="27" s="1"/>
  <c r="C11" i="27"/>
  <c r="G10" i="27"/>
  <c r="F10" i="27"/>
  <c r="E10" i="27"/>
  <c r="D10" i="27"/>
  <c r="C10" i="27"/>
  <c r="F9" i="27"/>
  <c r="E9" i="27"/>
  <c r="G9" i="27" s="1"/>
  <c r="D9" i="27"/>
  <c r="C9" i="27"/>
  <c r="E8" i="27"/>
  <c r="D8" i="27"/>
  <c r="G8" i="27" s="1"/>
  <c r="C8" i="27"/>
  <c r="F7" i="27"/>
  <c r="E7" i="27"/>
  <c r="D7" i="27"/>
  <c r="G7" i="27" s="1"/>
  <c r="C7" i="27"/>
  <c r="E6" i="27"/>
  <c r="E12" i="27" s="1"/>
  <c r="D6" i="27"/>
  <c r="G6" i="27" s="1"/>
  <c r="C6" i="27"/>
  <c r="G5" i="27"/>
  <c r="E5" i="27"/>
  <c r="D5" i="27"/>
  <c r="F5" i="27" s="1"/>
  <c r="C5" i="27"/>
  <c r="C12" i="27" s="1"/>
  <c r="K102" i="26"/>
  <c r="J102" i="26"/>
  <c r="I102" i="26"/>
  <c r="H102" i="26"/>
  <c r="G102" i="26"/>
  <c r="F102" i="26"/>
  <c r="E102" i="26"/>
  <c r="D102" i="26"/>
  <c r="C102" i="26"/>
  <c r="B102" i="26"/>
  <c r="A102" i="26"/>
  <c r="G101" i="26"/>
  <c r="D101" i="26"/>
  <c r="C101" i="26"/>
  <c r="B101" i="26"/>
  <c r="A101" i="26"/>
  <c r="H101" i="26" s="1"/>
  <c r="J100" i="26"/>
  <c r="I100" i="26"/>
  <c r="F100" i="26"/>
  <c r="D100" i="26"/>
  <c r="C100" i="26"/>
  <c r="B100" i="26"/>
  <c r="A100" i="26"/>
  <c r="K100" i="26" s="1"/>
  <c r="K99" i="26"/>
  <c r="H99" i="26"/>
  <c r="E99" i="26"/>
  <c r="D99" i="26"/>
  <c r="C99" i="26"/>
  <c r="B99" i="26"/>
  <c r="A99" i="26"/>
  <c r="F99" i="26" s="1"/>
  <c r="K98" i="26"/>
  <c r="J98" i="26"/>
  <c r="D98" i="26"/>
  <c r="C98" i="26"/>
  <c r="B98" i="26"/>
  <c r="A98" i="26"/>
  <c r="I98" i="26" s="1"/>
  <c r="I97" i="26"/>
  <c r="F97" i="26"/>
  <c r="D97" i="26"/>
  <c r="C97" i="26"/>
  <c r="B97" i="26"/>
  <c r="A97" i="26"/>
  <c r="K97" i="26" s="1"/>
  <c r="K96" i="26"/>
  <c r="J96" i="26"/>
  <c r="I96" i="26"/>
  <c r="H96" i="26"/>
  <c r="G96" i="26"/>
  <c r="F96" i="26"/>
  <c r="E96" i="26"/>
  <c r="D96" i="26"/>
  <c r="C96" i="26"/>
  <c r="B96" i="26"/>
  <c r="A96" i="26"/>
  <c r="D95" i="26"/>
  <c r="C95" i="26"/>
  <c r="B95" i="26"/>
  <c r="A95" i="26"/>
  <c r="K95" i="26" s="1"/>
  <c r="I94" i="26"/>
  <c r="H94" i="26"/>
  <c r="G94" i="26"/>
  <c r="F94" i="26"/>
  <c r="D94" i="26"/>
  <c r="J94" i="26" s="1"/>
  <c r="C94" i="26"/>
  <c r="B94" i="26"/>
  <c r="A94" i="26"/>
  <c r="K94" i="26" s="1"/>
  <c r="K93" i="26"/>
  <c r="J93" i="26"/>
  <c r="I93" i="26"/>
  <c r="H93" i="26"/>
  <c r="G93" i="26"/>
  <c r="F93" i="26"/>
  <c r="E93" i="26"/>
  <c r="D93" i="26"/>
  <c r="C93" i="26"/>
  <c r="B93" i="26"/>
  <c r="A93" i="26"/>
  <c r="J92" i="26"/>
  <c r="G92" i="26"/>
  <c r="F92" i="26"/>
  <c r="E92" i="26"/>
  <c r="D92" i="26"/>
  <c r="C92" i="26"/>
  <c r="B92" i="26"/>
  <c r="A92" i="26"/>
  <c r="K92" i="26" s="1"/>
  <c r="I91" i="26"/>
  <c r="F91" i="26"/>
  <c r="D91" i="26"/>
  <c r="C91" i="26"/>
  <c r="B91" i="26"/>
  <c r="A91" i="26"/>
  <c r="K91" i="26" s="1"/>
  <c r="K90" i="26"/>
  <c r="I90" i="26"/>
  <c r="H90" i="26"/>
  <c r="F90" i="26"/>
  <c r="E90" i="26"/>
  <c r="D90" i="26"/>
  <c r="C90" i="26"/>
  <c r="B90" i="26"/>
  <c r="A90" i="26"/>
  <c r="G90" i="26" s="1"/>
  <c r="D89" i="26"/>
  <c r="C89" i="26"/>
  <c r="B89" i="26"/>
  <c r="A89" i="26"/>
  <c r="K89" i="26" s="1"/>
  <c r="D88" i="26"/>
  <c r="C88" i="26"/>
  <c r="B88" i="26"/>
  <c r="A88" i="26"/>
  <c r="G88" i="26" s="1"/>
  <c r="K87" i="26"/>
  <c r="J87" i="26"/>
  <c r="I87" i="26"/>
  <c r="H87" i="26"/>
  <c r="G87" i="26"/>
  <c r="F87" i="26"/>
  <c r="E87" i="26"/>
  <c r="D87" i="26"/>
  <c r="C87" i="26"/>
  <c r="B87" i="26"/>
  <c r="A87" i="26"/>
  <c r="D86" i="26"/>
  <c r="C86" i="26"/>
  <c r="B86" i="26"/>
  <c r="A86" i="26"/>
  <c r="E86" i="26" s="1"/>
  <c r="K85" i="26"/>
  <c r="J85" i="26"/>
  <c r="I85" i="26"/>
  <c r="G85" i="26"/>
  <c r="F85" i="26"/>
  <c r="D85" i="26"/>
  <c r="C85" i="26"/>
  <c r="B85" i="26"/>
  <c r="A85" i="26"/>
  <c r="H85" i="26" s="1"/>
  <c r="K84" i="26"/>
  <c r="J84" i="26"/>
  <c r="I84" i="26"/>
  <c r="H84" i="26"/>
  <c r="G84" i="26"/>
  <c r="F84" i="26"/>
  <c r="E84" i="26"/>
  <c r="D84" i="26"/>
  <c r="C84" i="26"/>
  <c r="B84" i="26"/>
  <c r="A84" i="26"/>
  <c r="J83" i="26"/>
  <c r="I83" i="26"/>
  <c r="H83" i="26"/>
  <c r="G83" i="26"/>
  <c r="D83" i="26"/>
  <c r="C83" i="26"/>
  <c r="B83" i="26"/>
  <c r="A83" i="26"/>
  <c r="K83" i="26" s="1"/>
  <c r="I82" i="26"/>
  <c r="F82" i="26"/>
  <c r="D82" i="26"/>
  <c r="C82" i="26"/>
  <c r="B82" i="26"/>
  <c r="A82" i="26"/>
  <c r="K82" i="26" s="1"/>
  <c r="K81" i="26"/>
  <c r="I81" i="26"/>
  <c r="H81" i="26"/>
  <c r="G81" i="26"/>
  <c r="F81" i="26"/>
  <c r="E81" i="26"/>
  <c r="D81" i="26"/>
  <c r="C81" i="26"/>
  <c r="B81" i="26"/>
  <c r="A81" i="26"/>
  <c r="J81" i="26" s="1"/>
  <c r="D80" i="26"/>
  <c r="C80" i="26"/>
  <c r="B80" i="26"/>
  <c r="A80" i="26"/>
  <c r="K80" i="26" s="1"/>
  <c r="I79" i="26"/>
  <c r="F79" i="26"/>
  <c r="E79" i="26"/>
  <c r="D79" i="26"/>
  <c r="J79" i="26" s="1"/>
  <c r="C79" i="26"/>
  <c r="B79" i="26"/>
  <c r="A79" i="26"/>
  <c r="H79" i="26" s="1"/>
  <c r="K78" i="26"/>
  <c r="J78" i="26"/>
  <c r="I78" i="26"/>
  <c r="H78" i="26"/>
  <c r="G78" i="26"/>
  <c r="F78" i="26"/>
  <c r="E78" i="26"/>
  <c r="D78" i="26"/>
  <c r="C78" i="26"/>
  <c r="B78" i="26"/>
  <c r="A78" i="26"/>
  <c r="G77" i="26"/>
  <c r="D77" i="26"/>
  <c r="C77" i="26"/>
  <c r="B77" i="26"/>
  <c r="A77" i="26"/>
  <c r="H77" i="26" s="1"/>
  <c r="J76" i="26"/>
  <c r="I76" i="26"/>
  <c r="F76" i="26"/>
  <c r="D76" i="26"/>
  <c r="C76" i="26"/>
  <c r="B76" i="26"/>
  <c r="A76" i="26"/>
  <c r="K76" i="26" s="1"/>
  <c r="K75" i="26"/>
  <c r="H75" i="26"/>
  <c r="E75" i="26"/>
  <c r="D75" i="26"/>
  <c r="C75" i="26"/>
  <c r="B75" i="26"/>
  <c r="A75" i="26"/>
  <c r="F75" i="26" s="1"/>
  <c r="K74" i="26"/>
  <c r="J74" i="26"/>
  <c r="D74" i="26"/>
  <c r="C74" i="26"/>
  <c r="B74" i="26"/>
  <c r="A74" i="26"/>
  <c r="I74" i="26" s="1"/>
  <c r="I73" i="26"/>
  <c r="F73" i="26"/>
  <c r="D73" i="26"/>
  <c r="C73" i="26"/>
  <c r="B73" i="26"/>
  <c r="A73" i="26"/>
  <c r="K73" i="26" s="1"/>
  <c r="K72" i="26"/>
  <c r="J72" i="26"/>
  <c r="I72" i="26"/>
  <c r="H72" i="26"/>
  <c r="G72" i="26"/>
  <c r="F72" i="26"/>
  <c r="E72" i="26"/>
  <c r="D72" i="26"/>
  <c r="C72" i="26"/>
  <c r="B72" i="26"/>
  <c r="A72" i="26"/>
  <c r="D71" i="26"/>
  <c r="C71" i="26"/>
  <c r="B71" i="26"/>
  <c r="A71" i="26"/>
  <c r="K71" i="26" s="1"/>
  <c r="I70" i="26"/>
  <c r="H70" i="26"/>
  <c r="G70" i="26"/>
  <c r="F70" i="26"/>
  <c r="D70" i="26"/>
  <c r="J70" i="26" s="1"/>
  <c r="C70" i="26"/>
  <c r="B70" i="26"/>
  <c r="A70" i="26"/>
  <c r="K70" i="26" s="1"/>
  <c r="K69" i="26"/>
  <c r="J69" i="26"/>
  <c r="I69" i="26"/>
  <c r="H69" i="26"/>
  <c r="G69" i="26"/>
  <c r="F69" i="26"/>
  <c r="E69" i="26"/>
  <c r="D69" i="26"/>
  <c r="C69" i="26"/>
  <c r="B69" i="26"/>
  <c r="A69" i="26"/>
  <c r="J68" i="26"/>
  <c r="G68" i="26"/>
  <c r="F68" i="26"/>
  <c r="E68" i="26"/>
  <c r="D68" i="26"/>
  <c r="C68" i="26"/>
  <c r="B68" i="26"/>
  <c r="A68" i="26"/>
  <c r="K68" i="26" s="1"/>
  <c r="I67" i="26"/>
  <c r="F67" i="26"/>
  <c r="D67" i="26"/>
  <c r="C67" i="26"/>
  <c r="B67" i="26"/>
  <c r="A67" i="26"/>
  <c r="K67" i="26" s="1"/>
  <c r="K66" i="26"/>
  <c r="I66" i="26"/>
  <c r="H66" i="26"/>
  <c r="F66" i="26"/>
  <c r="E66" i="26"/>
  <c r="D66" i="26"/>
  <c r="C66" i="26"/>
  <c r="B66" i="26"/>
  <c r="A66" i="26"/>
  <c r="G66" i="26" s="1"/>
  <c r="D65" i="26"/>
  <c r="C65" i="26"/>
  <c r="B65" i="26"/>
  <c r="A65" i="26"/>
  <c r="K65" i="26" s="1"/>
  <c r="D64" i="26"/>
  <c r="C64" i="26"/>
  <c r="B64" i="26"/>
  <c r="A64" i="26"/>
  <c r="G64" i="26" s="1"/>
  <c r="K63" i="26"/>
  <c r="J63" i="26"/>
  <c r="I63" i="26"/>
  <c r="H63" i="26"/>
  <c r="G63" i="26"/>
  <c r="F63" i="26"/>
  <c r="E63" i="26"/>
  <c r="D63" i="26"/>
  <c r="C63" i="26"/>
  <c r="B63" i="26"/>
  <c r="A63" i="26"/>
  <c r="D62" i="26"/>
  <c r="C62" i="26"/>
  <c r="B62" i="26"/>
  <c r="A62" i="26"/>
  <c r="E62" i="26" s="1"/>
  <c r="K61" i="26"/>
  <c r="J61" i="26"/>
  <c r="I61" i="26"/>
  <c r="G61" i="26"/>
  <c r="F61" i="26"/>
  <c r="D61" i="26"/>
  <c r="C61" i="26"/>
  <c r="B61" i="26"/>
  <c r="A61" i="26"/>
  <c r="H61" i="26" s="1"/>
  <c r="K60" i="26"/>
  <c r="J60" i="26"/>
  <c r="I60" i="26"/>
  <c r="H60" i="26"/>
  <c r="G60" i="26"/>
  <c r="F60" i="26"/>
  <c r="E60" i="26"/>
  <c r="D60" i="26"/>
  <c r="C60" i="26"/>
  <c r="B60" i="26"/>
  <c r="A60" i="26"/>
  <c r="J59" i="26"/>
  <c r="I59" i="26"/>
  <c r="H59" i="26"/>
  <c r="G59" i="26"/>
  <c r="D59" i="26"/>
  <c r="C59" i="26"/>
  <c r="B59" i="26"/>
  <c r="A59" i="26"/>
  <c r="K59" i="26" s="1"/>
  <c r="I58" i="26"/>
  <c r="F58" i="26"/>
  <c r="D58" i="26"/>
  <c r="C58" i="26"/>
  <c r="B58" i="26"/>
  <c r="A58" i="26"/>
  <c r="K58" i="26" s="1"/>
  <c r="K57" i="26"/>
  <c r="I57" i="26"/>
  <c r="H57" i="26"/>
  <c r="G57" i="26"/>
  <c r="F57" i="26"/>
  <c r="E57" i="26"/>
  <c r="D57" i="26"/>
  <c r="C57" i="26"/>
  <c r="B57" i="26"/>
  <c r="A57" i="26"/>
  <c r="J57" i="26" s="1"/>
  <c r="G56" i="26"/>
  <c r="D56" i="26"/>
  <c r="C56" i="26"/>
  <c r="B56" i="26"/>
  <c r="A56" i="26"/>
  <c r="K56" i="26" s="1"/>
  <c r="I55" i="26"/>
  <c r="G55" i="26"/>
  <c r="F55" i="26"/>
  <c r="E55" i="26"/>
  <c r="D55" i="26"/>
  <c r="C55" i="26"/>
  <c r="B55" i="26"/>
  <c r="A55" i="26"/>
  <c r="J55" i="26" s="1"/>
  <c r="K54" i="26"/>
  <c r="J54" i="26"/>
  <c r="I54" i="26"/>
  <c r="H54" i="26"/>
  <c r="G54" i="26"/>
  <c r="F54" i="26"/>
  <c r="E54" i="26"/>
  <c r="D54" i="26"/>
  <c r="C54" i="26"/>
  <c r="B54" i="26"/>
  <c r="A54" i="26"/>
  <c r="G53" i="26"/>
  <c r="D53" i="26"/>
  <c r="C53" i="26"/>
  <c r="B53" i="26"/>
  <c r="A53" i="26"/>
  <c r="H53" i="26" s="1"/>
  <c r="J52" i="26"/>
  <c r="I52" i="26"/>
  <c r="F52" i="26"/>
  <c r="D52" i="26"/>
  <c r="C52" i="26"/>
  <c r="B52" i="26"/>
  <c r="A52" i="26"/>
  <c r="K52" i="26" s="1"/>
  <c r="K51" i="26"/>
  <c r="E51" i="26"/>
  <c r="D51" i="26"/>
  <c r="C51" i="26"/>
  <c r="B51" i="26"/>
  <c r="A51" i="26"/>
  <c r="F51" i="26" s="1"/>
  <c r="K50" i="26"/>
  <c r="J50" i="26"/>
  <c r="D50" i="26"/>
  <c r="C50" i="26"/>
  <c r="B50" i="26"/>
  <c r="A50" i="26"/>
  <c r="I50" i="26" s="1"/>
  <c r="I49" i="26"/>
  <c r="F49" i="26"/>
  <c r="D49" i="26"/>
  <c r="C49" i="26"/>
  <c r="B49" i="26"/>
  <c r="A49" i="26"/>
  <c r="K49" i="26" s="1"/>
  <c r="K48" i="26"/>
  <c r="J48" i="26"/>
  <c r="I48" i="26"/>
  <c r="H48" i="26"/>
  <c r="G48" i="26"/>
  <c r="F48" i="26"/>
  <c r="E48" i="26"/>
  <c r="D48" i="26"/>
  <c r="C48" i="26"/>
  <c r="B48" i="26"/>
  <c r="A48" i="26"/>
  <c r="D47" i="26"/>
  <c r="C47" i="26"/>
  <c r="B47" i="26"/>
  <c r="A47" i="26"/>
  <c r="K47" i="26" s="1"/>
  <c r="J46" i="26"/>
  <c r="I46" i="26"/>
  <c r="H46" i="26"/>
  <c r="G46" i="26"/>
  <c r="F46" i="26"/>
  <c r="D46" i="26"/>
  <c r="C46" i="26"/>
  <c r="B46" i="26"/>
  <c r="A46" i="26"/>
  <c r="K46" i="26" s="1"/>
  <c r="K45" i="26"/>
  <c r="J45" i="26"/>
  <c r="I45" i="26"/>
  <c r="H45" i="26"/>
  <c r="G45" i="26"/>
  <c r="F45" i="26"/>
  <c r="E45" i="26"/>
  <c r="D45" i="26"/>
  <c r="C45" i="26"/>
  <c r="B45" i="26"/>
  <c r="A45" i="26"/>
  <c r="J44" i="26"/>
  <c r="G44" i="26"/>
  <c r="F44" i="26"/>
  <c r="E44" i="26"/>
  <c r="D44" i="26"/>
  <c r="C44" i="26"/>
  <c r="B44" i="26"/>
  <c r="A44" i="26"/>
  <c r="K44" i="26" s="1"/>
  <c r="I43" i="26"/>
  <c r="F43" i="26"/>
  <c r="D43" i="26"/>
  <c r="C43" i="26"/>
  <c r="B43" i="26"/>
  <c r="A43" i="26"/>
  <c r="K43" i="26" s="1"/>
  <c r="K42" i="26"/>
  <c r="I42" i="26"/>
  <c r="H42" i="26"/>
  <c r="F42" i="26"/>
  <c r="E42" i="26"/>
  <c r="D42" i="26"/>
  <c r="C42" i="26"/>
  <c r="B42" i="26"/>
  <c r="A42" i="26"/>
  <c r="G42" i="26" s="1"/>
  <c r="D41" i="26"/>
  <c r="C41" i="26"/>
  <c r="B41" i="26"/>
  <c r="A41" i="26"/>
  <c r="K41" i="26" s="1"/>
  <c r="D40" i="26"/>
  <c r="C40" i="26"/>
  <c r="B40" i="26"/>
  <c r="A40" i="26"/>
  <c r="G40" i="26" s="1"/>
  <c r="K39" i="26"/>
  <c r="J39" i="26"/>
  <c r="I39" i="26"/>
  <c r="H39" i="26"/>
  <c r="G39" i="26"/>
  <c r="F39" i="26"/>
  <c r="E39" i="26"/>
  <c r="D39" i="26"/>
  <c r="C39" i="26"/>
  <c r="B39" i="26"/>
  <c r="A39" i="26"/>
  <c r="D38" i="26"/>
  <c r="C38" i="26"/>
  <c r="B38" i="26"/>
  <c r="A38" i="26"/>
  <c r="E38" i="26" s="1"/>
  <c r="K37" i="26"/>
  <c r="J37" i="26"/>
  <c r="I37" i="26"/>
  <c r="G37" i="26"/>
  <c r="F37" i="26"/>
  <c r="D37" i="26"/>
  <c r="C37" i="26"/>
  <c r="B37" i="26"/>
  <c r="A37" i="26"/>
  <c r="H37" i="26" s="1"/>
  <c r="K36" i="26"/>
  <c r="J36" i="26"/>
  <c r="I36" i="26"/>
  <c r="H36" i="26"/>
  <c r="G36" i="26"/>
  <c r="F36" i="26"/>
  <c r="E36" i="26"/>
  <c r="D36" i="26"/>
  <c r="C36" i="26"/>
  <c r="B36" i="26"/>
  <c r="A36" i="26"/>
  <c r="J35" i="26"/>
  <c r="I35" i="26"/>
  <c r="H35" i="26"/>
  <c r="G35" i="26"/>
  <c r="D35" i="26"/>
  <c r="C35" i="26"/>
  <c r="B35" i="26"/>
  <c r="A35" i="26"/>
  <c r="K35" i="26" s="1"/>
  <c r="I34" i="26"/>
  <c r="F34" i="26"/>
  <c r="D34" i="26"/>
  <c r="C34" i="26"/>
  <c r="B34" i="26"/>
  <c r="A34" i="26"/>
  <c r="K34" i="26" s="1"/>
  <c r="K33" i="26"/>
  <c r="I33" i="26"/>
  <c r="H33" i="26"/>
  <c r="G33" i="26"/>
  <c r="F33" i="26"/>
  <c r="E33" i="26"/>
  <c r="D33" i="26"/>
  <c r="C33" i="26"/>
  <c r="B33" i="26"/>
  <c r="A33" i="26"/>
  <c r="J33" i="26" s="1"/>
  <c r="G32" i="26"/>
  <c r="D32" i="26"/>
  <c r="J32" i="26" s="1"/>
  <c r="C32" i="26"/>
  <c r="B32" i="26"/>
  <c r="A32" i="26"/>
  <c r="K32" i="26" s="1"/>
  <c r="I31" i="26"/>
  <c r="G31" i="26"/>
  <c r="F31" i="26"/>
  <c r="E31" i="26"/>
  <c r="D31" i="26"/>
  <c r="C31" i="26"/>
  <c r="B31" i="26"/>
  <c r="A31" i="26"/>
  <c r="J31" i="26" s="1"/>
  <c r="K30" i="26"/>
  <c r="J30" i="26"/>
  <c r="I30" i="26"/>
  <c r="H30" i="26"/>
  <c r="G30" i="26"/>
  <c r="F30" i="26"/>
  <c r="E30" i="26"/>
  <c r="D30" i="26"/>
  <c r="C30" i="26"/>
  <c r="B30" i="26"/>
  <c r="A30" i="26"/>
  <c r="G29" i="26"/>
  <c r="D29" i="26"/>
  <c r="C29" i="26"/>
  <c r="B29" i="26"/>
  <c r="A29" i="26"/>
  <c r="H29" i="26" s="1"/>
  <c r="J28" i="26"/>
  <c r="I28" i="26"/>
  <c r="F28" i="26"/>
  <c r="D28" i="26"/>
  <c r="C28" i="26"/>
  <c r="B28" i="26"/>
  <c r="A28" i="26"/>
  <c r="K28" i="26" s="1"/>
  <c r="K27" i="26"/>
  <c r="E27" i="26"/>
  <c r="D27" i="26"/>
  <c r="C27" i="26"/>
  <c r="B27" i="26"/>
  <c r="A27" i="26"/>
  <c r="F27" i="26" s="1"/>
  <c r="K26" i="26"/>
  <c r="J26" i="26"/>
  <c r="D26" i="26"/>
  <c r="C26" i="26"/>
  <c r="B26" i="26"/>
  <c r="A26" i="26"/>
  <c r="I26" i="26" s="1"/>
  <c r="I25" i="26"/>
  <c r="F25" i="26"/>
  <c r="D25" i="26"/>
  <c r="C25" i="26"/>
  <c r="B25" i="26"/>
  <c r="A25" i="26"/>
  <c r="K25" i="26" s="1"/>
  <c r="K24" i="26"/>
  <c r="J24" i="26"/>
  <c r="I24" i="26"/>
  <c r="H24" i="26"/>
  <c r="G24" i="26"/>
  <c r="F24" i="26"/>
  <c r="E24" i="26"/>
  <c r="D24" i="26"/>
  <c r="C24" i="26"/>
  <c r="B24" i="26"/>
  <c r="A24" i="26"/>
  <c r="D23" i="26"/>
  <c r="C23" i="26"/>
  <c r="B23" i="26"/>
  <c r="A23" i="26"/>
  <c r="K23" i="26" s="1"/>
  <c r="J22" i="26"/>
  <c r="I22" i="26"/>
  <c r="H22" i="26"/>
  <c r="G22" i="26"/>
  <c r="F22" i="26"/>
  <c r="D22" i="26"/>
  <c r="C22" i="26"/>
  <c r="B22" i="26"/>
  <c r="A22" i="26"/>
  <c r="K22" i="26" s="1"/>
  <c r="K21" i="26"/>
  <c r="J21" i="26"/>
  <c r="I21" i="26"/>
  <c r="H21" i="26"/>
  <c r="G21" i="26"/>
  <c r="F21" i="26"/>
  <c r="E21" i="26"/>
  <c r="D21" i="26"/>
  <c r="C21" i="26"/>
  <c r="B21" i="26"/>
  <c r="A21" i="26"/>
  <c r="J20" i="26"/>
  <c r="G20" i="26"/>
  <c r="F20" i="26"/>
  <c r="E20" i="26"/>
  <c r="D20" i="26"/>
  <c r="C20" i="26"/>
  <c r="B20" i="26"/>
  <c r="A20" i="26"/>
  <c r="K20" i="26" s="1"/>
  <c r="I19" i="26"/>
  <c r="F19" i="26"/>
  <c r="D19" i="26"/>
  <c r="C19" i="26"/>
  <c r="B19" i="26"/>
  <c r="A19" i="26"/>
  <c r="K19" i="26" s="1"/>
  <c r="K18" i="26"/>
  <c r="I18" i="26"/>
  <c r="H18" i="26"/>
  <c r="F18" i="26"/>
  <c r="E18" i="26"/>
  <c r="D18" i="26"/>
  <c r="C18" i="26"/>
  <c r="B18" i="26"/>
  <c r="A18" i="26"/>
  <c r="G18" i="26" s="1"/>
  <c r="D17" i="26"/>
  <c r="C17" i="26"/>
  <c r="B17" i="26"/>
  <c r="A17" i="26"/>
  <c r="K17" i="26" s="1"/>
  <c r="D16" i="26"/>
  <c r="C16" i="26"/>
  <c r="B16" i="26"/>
  <c r="A16" i="26"/>
  <c r="G16" i="26" s="1"/>
  <c r="K15" i="26"/>
  <c r="J15" i="26"/>
  <c r="I15" i="26"/>
  <c r="H15" i="26"/>
  <c r="G15" i="26"/>
  <c r="F15" i="26"/>
  <c r="E15" i="26"/>
  <c r="D15" i="26"/>
  <c r="C15" i="26"/>
  <c r="B15" i="26"/>
  <c r="A15" i="26"/>
  <c r="D14" i="26"/>
  <c r="C14" i="26"/>
  <c r="B14" i="26"/>
  <c r="A14" i="26"/>
  <c r="E14" i="26" s="1"/>
  <c r="F13" i="26"/>
  <c r="D13" i="26"/>
  <c r="C13" i="26"/>
  <c r="B13" i="26"/>
  <c r="A13" i="26"/>
  <c r="H12" i="26"/>
  <c r="I12" i="26" s="1"/>
  <c r="J12" i="26" s="1"/>
  <c r="K12" i="26" s="1"/>
  <c r="G12" i="26"/>
  <c r="F12" i="26"/>
  <c r="E12" i="26"/>
  <c r="D12" i="26"/>
  <c r="C12" i="26"/>
  <c r="B12" i="26"/>
  <c r="A12" i="26"/>
  <c r="G11" i="26"/>
  <c r="D11" i="26"/>
  <c r="C11" i="26"/>
  <c r="B11" i="26"/>
  <c r="A11" i="26"/>
  <c r="F10" i="26"/>
  <c r="D10" i="26"/>
  <c r="C10" i="26"/>
  <c r="B10" i="26"/>
  <c r="A10" i="26"/>
  <c r="G9" i="26"/>
  <c r="F9" i="26"/>
  <c r="H9" i="26" s="1"/>
  <c r="I9" i="26" s="1"/>
  <c r="E9" i="26"/>
  <c r="D9" i="26"/>
  <c r="C9" i="26"/>
  <c r="B9" i="26"/>
  <c r="A9" i="26"/>
  <c r="J9" i="26" s="1"/>
  <c r="K9" i="26" s="1"/>
  <c r="D8" i="26"/>
  <c r="C8" i="26"/>
  <c r="B8" i="26"/>
  <c r="A8" i="26"/>
  <c r="G7" i="26"/>
  <c r="F7" i="26"/>
  <c r="E7" i="26"/>
  <c r="D7" i="26"/>
  <c r="C7" i="26"/>
  <c r="B7" i="26"/>
  <c r="A7" i="26"/>
  <c r="G6" i="26"/>
  <c r="F6" i="26"/>
  <c r="E6" i="26"/>
  <c r="H6" i="26" s="1"/>
  <c r="I6" i="26" s="1"/>
  <c r="J6" i="26" s="1"/>
  <c r="K6" i="26" s="1"/>
  <c r="D6" i="26"/>
  <c r="C6" i="26"/>
  <c r="B6" i="26"/>
  <c r="A6" i="26"/>
  <c r="D5" i="26"/>
  <c r="C5" i="26"/>
  <c r="B5" i="26"/>
  <c r="A5" i="26"/>
  <c r="F4" i="26"/>
  <c r="D4" i="26"/>
  <c r="C4" i="26"/>
  <c r="B4" i="26"/>
  <c r="A4" i="26"/>
  <c r="E3" i="26"/>
  <c r="D3" i="26"/>
  <c r="C3" i="26"/>
  <c r="C106" i="26" s="1"/>
  <c r="B3" i="26"/>
  <c r="A3" i="26"/>
  <c r="F3" i="26" s="1"/>
  <c r="E10" i="25"/>
  <c r="E9" i="25"/>
  <c r="E8" i="25"/>
  <c r="E7" i="25"/>
  <c r="E6" i="25"/>
  <c r="E5" i="25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N26" i="24" s="1"/>
  <c r="M25" i="24"/>
  <c r="L25" i="24"/>
  <c r="K25" i="24"/>
  <c r="J25" i="24"/>
  <c r="I25" i="24"/>
  <c r="H25" i="24"/>
  <c r="G25" i="24"/>
  <c r="F25" i="24"/>
  <c r="E25" i="24"/>
  <c r="D25" i="24"/>
  <c r="C25" i="24"/>
  <c r="B25" i="24"/>
  <c r="N25" i="24" s="1"/>
  <c r="M24" i="24"/>
  <c r="L24" i="24"/>
  <c r="K24" i="24"/>
  <c r="J24" i="24"/>
  <c r="I24" i="24"/>
  <c r="H24" i="24"/>
  <c r="G24" i="24"/>
  <c r="F24" i="24"/>
  <c r="E24" i="24"/>
  <c r="D24" i="24"/>
  <c r="N24" i="24" s="1"/>
  <c r="C24" i="24"/>
  <c r="B24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M18" i="24"/>
  <c r="M27" i="24" s="1"/>
  <c r="L18" i="24"/>
  <c r="L27" i="24" s="1"/>
  <c r="K18" i="24"/>
  <c r="K27" i="24" s="1"/>
  <c r="J18" i="24"/>
  <c r="J27" i="24" s="1"/>
  <c r="I18" i="24"/>
  <c r="I27" i="24" s="1"/>
  <c r="H18" i="24"/>
  <c r="H27" i="24" s="1"/>
  <c r="G18" i="24"/>
  <c r="F18" i="24"/>
  <c r="F27" i="24" s="1"/>
  <c r="E18" i="24"/>
  <c r="D18" i="24"/>
  <c r="C18" i="24"/>
  <c r="B18" i="24"/>
  <c r="B27" i="24" s="1"/>
  <c r="L14" i="24"/>
  <c r="J14" i="24"/>
  <c r="I14" i="24"/>
  <c r="H14" i="24"/>
  <c r="G14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M10" i="24"/>
  <c r="M14" i="24" s="1"/>
  <c r="L10" i="24"/>
  <c r="K10" i="24"/>
  <c r="K14" i="24" s="1"/>
  <c r="J10" i="24"/>
  <c r="I10" i="24"/>
  <c r="H10" i="24"/>
  <c r="G10" i="24"/>
  <c r="F10" i="24"/>
  <c r="F14" i="24" s="1"/>
  <c r="E10" i="24"/>
  <c r="E14" i="24" s="1"/>
  <c r="D10" i="24"/>
  <c r="D14" i="24" s="1"/>
  <c r="C10" i="24"/>
  <c r="C14" i="24" s="1"/>
  <c r="B10" i="24"/>
  <c r="B14" i="24" s="1"/>
  <c r="N14" i="24" s="1"/>
  <c r="M9" i="24"/>
  <c r="L9" i="24"/>
  <c r="K9" i="24"/>
  <c r="J9" i="24"/>
  <c r="I9" i="24"/>
  <c r="H9" i="24"/>
  <c r="G9" i="24"/>
  <c r="F9" i="24"/>
  <c r="E9" i="24"/>
  <c r="D9" i="24"/>
  <c r="N9" i="24" s="1"/>
  <c r="C9" i="24"/>
  <c r="B9" i="24"/>
  <c r="I202" i="23"/>
  <c r="J202" i="23" s="1"/>
  <c r="H202" i="23"/>
  <c r="F202" i="23"/>
  <c r="J201" i="23"/>
  <c r="I201" i="23"/>
  <c r="H201" i="23"/>
  <c r="F201" i="23"/>
  <c r="K200" i="23"/>
  <c r="J200" i="23"/>
  <c r="L200" i="23" s="1"/>
  <c r="I200" i="23"/>
  <c r="H200" i="23"/>
  <c r="F200" i="23"/>
  <c r="I199" i="23"/>
  <c r="J199" i="23" s="1"/>
  <c r="H199" i="23"/>
  <c r="F199" i="23"/>
  <c r="J198" i="23"/>
  <c r="I198" i="23"/>
  <c r="H198" i="23"/>
  <c r="F198" i="23"/>
  <c r="I197" i="23"/>
  <c r="J197" i="23" s="1"/>
  <c r="H197" i="23"/>
  <c r="F197" i="23"/>
  <c r="J196" i="23"/>
  <c r="I196" i="23"/>
  <c r="H196" i="23"/>
  <c r="F196" i="23"/>
  <c r="J195" i="23"/>
  <c r="K195" i="23" s="1"/>
  <c r="L195" i="23" s="1"/>
  <c r="I195" i="23"/>
  <c r="H195" i="23"/>
  <c r="F195" i="23"/>
  <c r="I194" i="23"/>
  <c r="J194" i="23" s="1"/>
  <c r="H194" i="23"/>
  <c r="F194" i="23"/>
  <c r="I193" i="23"/>
  <c r="J193" i="23" s="1"/>
  <c r="H193" i="23"/>
  <c r="F193" i="23"/>
  <c r="I192" i="23"/>
  <c r="J192" i="23" s="1"/>
  <c r="H192" i="23"/>
  <c r="F192" i="23"/>
  <c r="I191" i="23"/>
  <c r="J191" i="23" s="1"/>
  <c r="H191" i="23"/>
  <c r="F191" i="23"/>
  <c r="I190" i="23"/>
  <c r="J190" i="23" s="1"/>
  <c r="H190" i="23"/>
  <c r="F190" i="23"/>
  <c r="J189" i="23"/>
  <c r="K189" i="23" s="1"/>
  <c r="L189" i="23" s="1"/>
  <c r="I189" i="23"/>
  <c r="H189" i="23"/>
  <c r="F189" i="23"/>
  <c r="I188" i="23"/>
  <c r="J188" i="23" s="1"/>
  <c r="H188" i="23"/>
  <c r="F188" i="23"/>
  <c r="L187" i="23"/>
  <c r="K187" i="23"/>
  <c r="J187" i="23"/>
  <c r="I187" i="23"/>
  <c r="H187" i="23"/>
  <c r="F187" i="23"/>
  <c r="I186" i="23"/>
  <c r="J186" i="23" s="1"/>
  <c r="H186" i="23"/>
  <c r="F186" i="23"/>
  <c r="I185" i="23"/>
  <c r="J185" i="23" s="1"/>
  <c r="H185" i="23"/>
  <c r="F185" i="23"/>
  <c r="J184" i="23"/>
  <c r="I184" i="23"/>
  <c r="H184" i="23"/>
  <c r="F184" i="23"/>
  <c r="L183" i="23"/>
  <c r="K183" i="23"/>
  <c r="J183" i="23"/>
  <c r="I183" i="23"/>
  <c r="H183" i="23"/>
  <c r="F183" i="23"/>
  <c r="J182" i="23"/>
  <c r="I182" i="23"/>
  <c r="H182" i="23"/>
  <c r="F182" i="23"/>
  <c r="J181" i="23"/>
  <c r="K181" i="23" s="1"/>
  <c r="L181" i="23" s="1"/>
  <c r="I181" i="23"/>
  <c r="H181" i="23"/>
  <c r="F181" i="23"/>
  <c r="I180" i="23"/>
  <c r="J180" i="23" s="1"/>
  <c r="H180" i="23"/>
  <c r="F180" i="23"/>
  <c r="L179" i="23"/>
  <c r="K179" i="23"/>
  <c r="J179" i="23"/>
  <c r="I179" i="23"/>
  <c r="H179" i="23"/>
  <c r="F179" i="23"/>
  <c r="I178" i="23"/>
  <c r="J178" i="23" s="1"/>
  <c r="H178" i="23"/>
  <c r="F178" i="23"/>
  <c r="I177" i="23"/>
  <c r="J177" i="23" s="1"/>
  <c r="H177" i="23"/>
  <c r="F177" i="23"/>
  <c r="J176" i="23"/>
  <c r="I176" i="23"/>
  <c r="H176" i="23"/>
  <c r="F176" i="23"/>
  <c r="K175" i="23"/>
  <c r="J175" i="23"/>
  <c r="L175" i="23" s="1"/>
  <c r="I175" i="23"/>
  <c r="H175" i="23"/>
  <c r="F175" i="23"/>
  <c r="J174" i="23"/>
  <c r="I174" i="23"/>
  <c r="H174" i="23"/>
  <c r="F174" i="23"/>
  <c r="J173" i="23"/>
  <c r="I173" i="23"/>
  <c r="H173" i="23"/>
  <c r="F173" i="23"/>
  <c r="I172" i="23"/>
  <c r="J172" i="23" s="1"/>
  <c r="H172" i="23"/>
  <c r="F172" i="23"/>
  <c r="J171" i="23"/>
  <c r="I171" i="23"/>
  <c r="H171" i="23"/>
  <c r="F171" i="23"/>
  <c r="I170" i="23"/>
  <c r="J170" i="23" s="1"/>
  <c r="H170" i="23"/>
  <c r="F170" i="23"/>
  <c r="I169" i="23"/>
  <c r="J169" i="23" s="1"/>
  <c r="H169" i="23"/>
  <c r="F169" i="23"/>
  <c r="I168" i="23"/>
  <c r="J168" i="23" s="1"/>
  <c r="H168" i="23"/>
  <c r="F168" i="23"/>
  <c r="I167" i="23"/>
  <c r="J167" i="23" s="1"/>
  <c r="H167" i="23"/>
  <c r="F167" i="23"/>
  <c r="K166" i="23"/>
  <c r="J166" i="23"/>
  <c r="I166" i="23"/>
  <c r="H166" i="23"/>
  <c r="F166" i="23"/>
  <c r="I165" i="23"/>
  <c r="J165" i="23" s="1"/>
  <c r="H165" i="23"/>
  <c r="F165" i="23"/>
  <c r="J164" i="23"/>
  <c r="K164" i="23" s="1"/>
  <c r="L164" i="23" s="1"/>
  <c r="I164" i="23"/>
  <c r="H164" i="23"/>
  <c r="F164" i="23"/>
  <c r="I163" i="23"/>
  <c r="J163" i="23" s="1"/>
  <c r="H163" i="23"/>
  <c r="F163" i="23"/>
  <c r="K162" i="23"/>
  <c r="J162" i="23"/>
  <c r="I162" i="23"/>
  <c r="H162" i="23"/>
  <c r="F162" i="23"/>
  <c r="I161" i="23"/>
  <c r="J161" i="23" s="1"/>
  <c r="H161" i="23"/>
  <c r="F161" i="23"/>
  <c r="I160" i="23"/>
  <c r="J160" i="23" s="1"/>
  <c r="H160" i="23"/>
  <c r="F160" i="23"/>
  <c r="J159" i="23"/>
  <c r="I159" i="23"/>
  <c r="H159" i="23"/>
  <c r="F159" i="23"/>
  <c r="K158" i="23"/>
  <c r="J158" i="23"/>
  <c r="I158" i="23"/>
  <c r="H158" i="23"/>
  <c r="F158" i="23"/>
  <c r="J157" i="23"/>
  <c r="I157" i="23"/>
  <c r="H157" i="23"/>
  <c r="F157" i="23"/>
  <c r="J156" i="23"/>
  <c r="K156" i="23" s="1"/>
  <c r="L156" i="23" s="1"/>
  <c r="I156" i="23"/>
  <c r="H156" i="23"/>
  <c r="F156" i="23"/>
  <c r="I155" i="23"/>
  <c r="J155" i="23" s="1"/>
  <c r="H155" i="23"/>
  <c r="F155" i="23"/>
  <c r="K154" i="23"/>
  <c r="J154" i="23"/>
  <c r="I154" i="23"/>
  <c r="H154" i="23"/>
  <c r="F154" i="23"/>
  <c r="I153" i="23"/>
  <c r="J153" i="23" s="1"/>
  <c r="H153" i="23"/>
  <c r="F153" i="23"/>
  <c r="I152" i="23"/>
  <c r="J152" i="23" s="1"/>
  <c r="H152" i="23"/>
  <c r="F152" i="23"/>
  <c r="J151" i="23"/>
  <c r="I151" i="23"/>
  <c r="H151" i="23"/>
  <c r="F151" i="23"/>
  <c r="J150" i="23"/>
  <c r="I150" i="23"/>
  <c r="H150" i="23"/>
  <c r="F150" i="23"/>
  <c r="J149" i="23"/>
  <c r="K149" i="23" s="1"/>
  <c r="L149" i="23" s="1"/>
  <c r="I149" i="23"/>
  <c r="H149" i="23"/>
  <c r="F149" i="23"/>
  <c r="J148" i="23"/>
  <c r="I148" i="23"/>
  <c r="H148" i="23"/>
  <c r="F148" i="23"/>
  <c r="I147" i="23"/>
  <c r="J147" i="23" s="1"/>
  <c r="H147" i="23"/>
  <c r="F147" i="23"/>
  <c r="I146" i="23"/>
  <c r="J146" i="23" s="1"/>
  <c r="H146" i="23"/>
  <c r="F146" i="23"/>
  <c r="I145" i="23"/>
  <c r="J145" i="23" s="1"/>
  <c r="H145" i="23"/>
  <c r="F145" i="23"/>
  <c r="I144" i="23"/>
  <c r="J144" i="23" s="1"/>
  <c r="H144" i="23"/>
  <c r="F144" i="23"/>
  <c r="I143" i="23"/>
  <c r="J143" i="23" s="1"/>
  <c r="H143" i="23"/>
  <c r="F143" i="23"/>
  <c r="I142" i="23"/>
  <c r="J142" i="23" s="1"/>
  <c r="H142" i="23"/>
  <c r="F142" i="23"/>
  <c r="L141" i="23"/>
  <c r="K141" i="23"/>
  <c r="J141" i="23"/>
  <c r="I141" i="23"/>
  <c r="H141" i="23"/>
  <c r="F141" i="23"/>
  <c r="I140" i="23"/>
  <c r="J140" i="23" s="1"/>
  <c r="H140" i="23"/>
  <c r="F140" i="23"/>
  <c r="J139" i="23"/>
  <c r="K139" i="23" s="1"/>
  <c r="L139" i="23" s="1"/>
  <c r="I139" i="23"/>
  <c r="H139" i="23"/>
  <c r="F139" i="23"/>
  <c r="J138" i="23"/>
  <c r="I138" i="23"/>
  <c r="H138" i="23"/>
  <c r="F138" i="23"/>
  <c r="L137" i="23"/>
  <c r="K137" i="23"/>
  <c r="J137" i="23"/>
  <c r="I137" i="23"/>
  <c r="H137" i="23"/>
  <c r="F137" i="23"/>
  <c r="I136" i="23"/>
  <c r="J136" i="23" s="1"/>
  <c r="H136" i="23"/>
  <c r="F136" i="23"/>
  <c r="I135" i="23"/>
  <c r="J135" i="23" s="1"/>
  <c r="H135" i="23"/>
  <c r="F135" i="23"/>
  <c r="I134" i="23"/>
  <c r="J134" i="23" s="1"/>
  <c r="H134" i="23"/>
  <c r="F134" i="23"/>
  <c r="L133" i="23"/>
  <c r="K133" i="23"/>
  <c r="J133" i="23"/>
  <c r="I133" i="23"/>
  <c r="H133" i="23"/>
  <c r="F133" i="23"/>
  <c r="J132" i="23"/>
  <c r="I132" i="23"/>
  <c r="H132" i="23"/>
  <c r="F132" i="23"/>
  <c r="J131" i="23"/>
  <c r="K131" i="23" s="1"/>
  <c r="L131" i="23" s="1"/>
  <c r="I131" i="23"/>
  <c r="H131" i="23"/>
  <c r="F131" i="23"/>
  <c r="J130" i="23"/>
  <c r="I130" i="23"/>
  <c r="H130" i="23"/>
  <c r="F130" i="23"/>
  <c r="K129" i="23"/>
  <c r="J129" i="23"/>
  <c r="L129" i="23" s="1"/>
  <c r="I129" i="23"/>
  <c r="H129" i="23"/>
  <c r="F129" i="23"/>
  <c r="I128" i="23"/>
  <c r="J128" i="23" s="1"/>
  <c r="H128" i="23"/>
  <c r="F128" i="23"/>
  <c r="I127" i="23"/>
  <c r="J127" i="23" s="1"/>
  <c r="H127" i="23"/>
  <c r="F127" i="23"/>
  <c r="I126" i="23"/>
  <c r="J126" i="23" s="1"/>
  <c r="H126" i="23"/>
  <c r="F126" i="23"/>
  <c r="J125" i="23"/>
  <c r="I125" i="23"/>
  <c r="H125" i="23"/>
  <c r="F125" i="23"/>
  <c r="J124" i="23"/>
  <c r="K124" i="23" s="1"/>
  <c r="L124" i="23" s="1"/>
  <c r="I124" i="23"/>
  <c r="H124" i="23"/>
  <c r="F124" i="23"/>
  <c r="J123" i="23"/>
  <c r="I123" i="23"/>
  <c r="H123" i="23"/>
  <c r="F123" i="23"/>
  <c r="I122" i="23"/>
  <c r="J122" i="23" s="1"/>
  <c r="H122" i="23"/>
  <c r="F122" i="23"/>
  <c r="I121" i="23"/>
  <c r="J121" i="23" s="1"/>
  <c r="H121" i="23"/>
  <c r="F121" i="23"/>
  <c r="I120" i="23"/>
  <c r="J120" i="23" s="1"/>
  <c r="H120" i="23"/>
  <c r="F120" i="23"/>
  <c r="I119" i="23"/>
  <c r="J119" i="23" s="1"/>
  <c r="H119" i="23"/>
  <c r="F119" i="23"/>
  <c r="J118" i="23"/>
  <c r="I118" i="23"/>
  <c r="H118" i="23"/>
  <c r="F118" i="23"/>
  <c r="I117" i="23"/>
  <c r="J117" i="23" s="1"/>
  <c r="H117" i="23"/>
  <c r="F117" i="23"/>
  <c r="L116" i="23"/>
  <c r="K116" i="23"/>
  <c r="J116" i="23"/>
  <c r="I116" i="23"/>
  <c r="H116" i="23"/>
  <c r="F116" i="23"/>
  <c r="I115" i="23"/>
  <c r="J115" i="23" s="1"/>
  <c r="H115" i="23"/>
  <c r="F115" i="23"/>
  <c r="I114" i="23"/>
  <c r="J114" i="23" s="1"/>
  <c r="H114" i="23"/>
  <c r="F114" i="23"/>
  <c r="J113" i="23"/>
  <c r="I113" i="23"/>
  <c r="H113" i="23"/>
  <c r="F113" i="23"/>
  <c r="L112" i="23"/>
  <c r="K112" i="23"/>
  <c r="J112" i="23"/>
  <c r="I112" i="23"/>
  <c r="H112" i="23"/>
  <c r="F112" i="23"/>
  <c r="I111" i="23"/>
  <c r="J111" i="23" s="1"/>
  <c r="H111" i="23"/>
  <c r="F111" i="23"/>
  <c r="J110" i="23"/>
  <c r="I110" i="23"/>
  <c r="H110" i="23"/>
  <c r="F110" i="23"/>
  <c r="I109" i="23"/>
  <c r="J109" i="23" s="1"/>
  <c r="H109" i="23"/>
  <c r="F109" i="23"/>
  <c r="L108" i="23"/>
  <c r="K108" i="23"/>
  <c r="J108" i="23"/>
  <c r="I108" i="23"/>
  <c r="H108" i="23"/>
  <c r="F108" i="23"/>
  <c r="J107" i="23"/>
  <c r="I107" i="23"/>
  <c r="H107" i="23"/>
  <c r="F107" i="23"/>
  <c r="I106" i="23"/>
  <c r="J106" i="23" s="1"/>
  <c r="H106" i="23"/>
  <c r="F106" i="23"/>
  <c r="J105" i="23"/>
  <c r="I105" i="23"/>
  <c r="H105" i="23"/>
  <c r="F105" i="23"/>
  <c r="K104" i="23"/>
  <c r="J104" i="23"/>
  <c r="L104" i="23" s="1"/>
  <c r="I104" i="23"/>
  <c r="H104" i="23"/>
  <c r="F104" i="23"/>
  <c r="I103" i="23"/>
  <c r="J103" i="23" s="1"/>
  <c r="H103" i="23"/>
  <c r="F103" i="23"/>
  <c r="J102" i="23"/>
  <c r="I102" i="23"/>
  <c r="H102" i="23"/>
  <c r="F102" i="23"/>
  <c r="I101" i="23"/>
  <c r="J101" i="23" s="1"/>
  <c r="H101" i="23"/>
  <c r="F101" i="23"/>
  <c r="J100" i="23"/>
  <c r="I100" i="23"/>
  <c r="H100" i="23"/>
  <c r="F100" i="23"/>
  <c r="J99" i="23"/>
  <c r="K99" i="23" s="1"/>
  <c r="L99" i="23" s="1"/>
  <c r="I99" i="23"/>
  <c r="H99" i="23"/>
  <c r="F99" i="23"/>
  <c r="I98" i="23"/>
  <c r="J98" i="23" s="1"/>
  <c r="H98" i="23"/>
  <c r="F98" i="23"/>
  <c r="I97" i="23"/>
  <c r="J97" i="23" s="1"/>
  <c r="H97" i="23"/>
  <c r="F97" i="23"/>
  <c r="I96" i="23"/>
  <c r="J96" i="23" s="1"/>
  <c r="H96" i="23"/>
  <c r="F96" i="23"/>
  <c r="I95" i="23"/>
  <c r="J95" i="23" s="1"/>
  <c r="H95" i="23"/>
  <c r="F95" i="23"/>
  <c r="I94" i="23"/>
  <c r="J94" i="23" s="1"/>
  <c r="H94" i="23"/>
  <c r="F94" i="23"/>
  <c r="J93" i="23"/>
  <c r="K93" i="23" s="1"/>
  <c r="L93" i="23" s="1"/>
  <c r="I93" i="23"/>
  <c r="H93" i="23"/>
  <c r="F93" i="23"/>
  <c r="I92" i="23"/>
  <c r="J92" i="23" s="1"/>
  <c r="H92" i="23"/>
  <c r="F92" i="23"/>
  <c r="L91" i="23"/>
  <c r="K91" i="23"/>
  <c r="J91" i="23"/>
  <c r="I91" i="23"/>
  <c r="H91" i="23"/>
  <c r="F91" i="23"/>
  <c r="I90" i="23"/>
  <c r="J90" i="23" s="1"/>
  <c r="H90" i="23"/>
  <c r="F90" i="23"/>
  <c r="I89" i="23"/>
  <c r="J89" i="23" s="1"/>
  <c r="H89" i="23"/>
  <c r="F89" i="23"/>
  <c r="J88" i="23"/>
  <c r="I88" i="23"/>
  <c r="H88" i="23"/>
  <c r="F88" i="23"/>
  <c r="L87" i="23"/>
  <c r="K87" i="23"/>
  <c r="J87" i="23"/>
  <c r="I87" i="23"/>
  <c r="H87" i="23"/>
  <c r="F87" i="23"/>
  <c r="J86" i="23"/>
  <c r="I86" i="23"/>
  <c r="H86" i="23"/>
  <c r="F86" i="23"/>
  <c r="J85" i="23"/>
  <c r="K85" i="23" s="1"/>
  <c r="L85" i="23" s="1"/>
  <c r="I85" i="23"/>
  <c r="H85" i="23"/>
  <c r="F85" i="23"/>
  <c r="I84" i="23"/>
  <c r="J84" i="23" s="1"/>
  <c r="H84" i="23"/>
  <c r="F84" i="23"/>
  <c r="L83" i="23"/>
  <c r="K83" i="23"/>
  <c r="J83" i="23"/>
  <c r="I83" i="23"/>
  <c r="H83" i="23"/>
  <c r="F83" i="23"/>
  <c r="I82" i="23"/>
  <c r="J82" i="23" s="1"/>
  <c r="H82" i="23"/>
  <c r="F82" i="23"/>
  <c r="I81" i="23"/>
  <c r="J81" i="23" s="1"/>
  <c r="H81" i="23"/>
  <c r="F81" i="23"/>
  <c r="J80" i="23"/>
  <c r="I80" i="23"/>
  <c r="H80" i="23"/>
  <c r="F80" i="23"/>
  <c r="K79" i="23"/>
  <c r="J79" i="23"/>
  <c r="L79" i="23" s="1"/>
  <c r="I79" i="23"/>
  <c r="H79" i="23"/>
  <c r="F79" i="23"/>
  <c r="J78" i="23"/>
  <c r="I78" i="23"/>
  <c r="H78" i="23"/>
  <c r="F78" i="23"/>
  <c r="J77" i="23"/>
  <c r="I77" i="23"/>
  <c r="H77" i="23"/>
  <c r="F77" i="23"/>
  <c r="I76" i="23"/>
  <c r="J76" i="23" s="1"/>
  <c r="H76" i="23"/>
  <c r="F76" i="23"/>
  <c r="J75" i="23"/>
  <c r="I75" i="23"/>
  <c r="H75" i="23"/>
  <c r="F75" i="23"/>
  <c r="I74" i="23"/>
  <c r="J74" i="23" s="1"/>
  <c r="H74" i="23"/>
  <c r="F74" i="23"/>
  <c r="I73" i="23"/>
  <c r="J73" i="23" s="1"/>
  <c r="H73" i="23"/>
  <c r="F73" i="23"/>
  <c r="I72" i="23"/>
  <c r="J72" i="23" s="1"/>
  <c r="H72" i="23"/>
  <c r="F72" i="23"/>
  <c r="I71" i="23"/>
  <c r="J71" i="23" s="1"/>
  <c r="H71" i="23"/>
  <c r="F71" i="23"/>
  <c r="K70" i="23"/>
  <c r="J70" i="23"/>
  <c r="I70" i="23"/>
  <c r="H70" i="23"/>
  <c r="F70" i="23"/>
  <c r="I69" i="23"/>
  <c r="J69" i="23" s="1"/>
  <c r="H69" i="23"/>
  <c r="F69" i="23"/>
  <c r="J68" i="23"/>
  <c r="K68" i="23" s="1"/>
  <c r="L68" i="23" s="1"/>
  <c r="I68" i="23"/>
  <c r="H68" i="23"/>
  <c r="F68" i="23"/>
  <c r="I67" i="23"/>
  <c r="J67" i="23" s="1"/>
  <c r="H67" i="23"/>
  <c r="F67" i="23"/>
  <c r="K66" i="23"/>
  <c r="J66" i="23"/>
  <c r="I66" i="23"/>
  <c r="H66" i="23"/>
  <c r="F66" i="23"/>
  <c r="I65" i="23"/>
  <c r="J65" i="23" s="1"/>
  <c r="H65" i="23"/>
  <c r="F65" i="23"/>
  <c r="I64" i="23"/>
  <c r="J64" i="23" s="1"/>
  <c r="H64" i="23"/>
  <c r="F64" i="23"/>
  <c r="J63" i="23"/>
  <c r="I63" i="23"/>
  <c r="H63" i="23"/>
  <c r="F63" i="23"/>
  <c r="K62" i="23"/>
  <c r="J62" i="23"/>
  <c r="I62" i="23"/>
  <c r="H62" i="23"/>
  <c r="F62" i="23"/>
  <c r="J61" i="23"/>
  <c r="I61" i="23"/>
  <c r="H61" i="23"/>
  <c r="F61" i="23"/>
  <c r="J60" i="23"/>
  <c r="K60" i="23" s="1"/>
  <c r="L60" i="23" s="1"/>
  <c r="I60" i="23"/>
  <c r="H60" i="23"/>
  <c r="F60" i="23"/>
  <c r="I59" i="23"/>
  <c r="J59" i="23" s="1"/>
  <c r="H59" i="23"/>
  <c r="F59" i="23"/>
  <c r="K58" i="23"/>
  <c r="J58" i="23"/>
  <c r="I58" i="23"/>
  <c r="H58" i="23"/>
  <c r="F58" i="23"/>
  <c r="I57" i="23"/>
  <c r="J57" i="23" s="1"/>
  <c r="H57" i="23"/>
  <c r="F57" i="23"/>
  <c r="I56" i="23"/>
  <c r="J56" i="23" s="1"/>
  <c r="H56" i="23"/>
  <c r="F56" i="23"/>
  <c r="J55" i="23"/>
  <c r="I55" i="23"/>
  <c r="H55" i="23"/>
  <c r="F55" i="23"/>
  <c r="J54" i="23"/>
  <c r="I54" i="23"/>
  <c r="H54" i="23"/>
  <c r="F54" i="23"/>
  <c r="J53" i="23"/>
  <c r="I53" i="23"/>
  <c r="H53" i="23"/>
  <c r="F53" i="23"/>
  <c r="J52" i="23"/>
  <c r="I52" i="23"/>
  <c r="H52" i="23"/>
  <c r="F52" i="23"/>
  <c r="I51" i="23"/>
  <c r="J51" i="23" s="1"/>
  <c r="H51" i="23"/>
  <c r="F51" i="23"/>
  <c r="I50" i="23"/>
  <c r="J50" i="23" s="1"/>
  <c r="H50" i="23"/>
  <c r="F50" i="23"/>
  <c r="I49" i="23"/>
  <c r="J49" i="23" s="1"/>
  <c r="H49" i="23"/>
  <c r="F49" i="23"/>
  <c r="I48" i="23"/>
  <c r="J48" i="23" s="1"/>
  <c r="H48" i="23"/>
  <c r="F48" i="23"/>
  <c r="I47" i="23"/>
  <c r="J47" i="23" s="1"/>
  <c r="H47" i="23"/>
  <c r="F47" i="23"/>
  <c r="I46" i="23"/>
  <c r="J46" i="23" s="1"/>
  <c r="H46" i="23"/>
  <c r="F46" i="23"/>
  <c r="L45" i="23"/>
  <c r="K45" i="23"/>
  <c r="J45" i="23"/>
  <c r="I45" i="23"/>
  <c r="H45" i="23"/>
  <c r="F45" i="23"/>
  <c r="I44" i="23"/>
  <c r="J44" i="23" s="1"/>
  <c r="H44" i="23"/>
  <c r="F44" i="23"/>
  <c r="J43" i="23"/>
  <c r="K43" i="23" s="1"/>
  <c r="L43" i="23" s="1"/>
  <c r="I43" i="23"/>
  <c r="H43" i="23"/>
  <c r="F43" i="23"/>
  <c r="J42" i="23"/>
  <c r="I42" i="23"/>
  <c r="H42" i="23"/>
  <c r="F42" i="23"/>
  <c r="L41" i="23"/>
  <c r="K41" i="23"/>
  <c r="J41" i="23"/>
  <c r="I41" i="23"/>
  <c r="H41" i="23"/>
  <c r="F41" i="23"/>
  <c r="I40" i="23"/>
  <c r="J40" i="23" s="1"/>
  <c r="H40" i="23"/>
  <c r="F40" i="23"/>
  <c r="I39" i="23"/>
  <c r="J39" i="23" s="1"/>
  <c r="H39" i="23"/>
  <c r="F39" i="23"/>
  <c r="I38" i="23"/>
  <c r="J38" i="23" s="1"/>
  <c r="H38" i="23"/>
  <c r="F38" i="23"/>
  <c r="L37" i="23"/>
  <c r="K37" i="23"/>
  <c r="J37" i="23"/>
  <c r="I37" i="23"/>
  <c r="H37" i="23"/>
  <c r="F37" i="23"/>
  <c r="J36" i="23"/>
  <c r="I36" i="23"/>
  <c r="H36" i="23"/>
  <c r="F36" i="23"/>
  <c r="J35" i="23"/>
  <c r="K35" i="23" s="1"/>
  <c r="L35" i="23" s="1"/>
  <c r="I35" i="23"/>
  <c r="H35" i="23"/>
  <c r="F35" i="23"/>
  <c r="J34" i="23"/>
  <c r="I34" i="23"/>
  <c r="H34" i="23"/>
  <c r="F34" i="23"/>
  <c r="K33" i="23"/>
  <c r="J33" i="23"/>
  <c r="L33" i="23" s="1"/>
  <c r="I33" i="23"/>
  <c r="H33" i="23"/>
  <c r="F33" i="23"/>
  <c r="I32" i="23"/>
  <c r="J32" i="23" s="1"/>
  <c r="H32" i="23"/>
  <c r="F32" i="23"/>
  <c r="I31" i="23"/>
  <c r="J31" i="23" s="1"/>
  <c r="H31" i="23"/>
  <c r="F31" i="23"/>
  <c r="I30" i="23"/>
  <c r="J30" i="23" s="1"/>
  <c r="H30" i="23"/>
  <c r="F30" i="23"/>
  <c r="J29" i="23"/>
  <c r="I29" i="23"/>
  <c r="H29" i="23"/>
  <c r="F29" i="23"/>
  <c r="J28" i="23"/>
  <c r="I28" i="23"/>
  <c r="H28" i="23"/>
  <c r="F28" i="23"/>
  <c r="J27" i="23"/>
  <c r="I27" i="23"/>
  <c r="H27" i="23"/>
  <c r="F27" i="23"/>
  <c r="I26" i="23"/>
  <c r="J26" i="23" s="1"/>
  <c r="H26" i="23"/>
  <c r="F26" i="23"/>
  <c r="I25" i="23"/>
  <c r="J25" i="23" s="1"/>
  <c r="H25" i="23"/>
  <c r="F25" i="23"/>
  <c r="I24" i="23"/>
  <c r="J24" i="23" s="1"/>
  <c r="H24" i="23"/>
  <c r="F24" i="23"/>
  <c r="I23" i="23"/>
  <c r="J23" i="23" s="1"/>
  <c r="H23" i="23"/>
  <c r="F23" i="23"/>
  <c r="J22" i="23"/>
  <c r="I22" i="23"/>
  <c r="H22" i="23"/>
  <c r="F22" i="23"/>
  <c r="I21" i="23"/>
  <c r="J21" i="23" s="1"/>
  <c r="H21" i="23"/>
  <c r="F21" i="23"/>
  <c r="L20" i="23"/>
  <c r="K20" i="23"/>
  <c r="J20" i="23"/>
  <c r="I20" i="23"/>
  <c r="H20" i="23"/>
  <c r="F20" i="23"/>
  <c r="I19" i="23"/>
  <c r="J19" i="23" s="1"/>
  <c r="H19" i="23"/>
  <c r="F19" i="23"/>
  <c r="I18" i="23"/>
  <c r="J18" i="23" s="1"/>
  <c r="H18" i="23"/>
  <c r="F18" i="23"/>
  <c r="J17" i="23"/>
  <c r="I17" i="23"/>
  <c r="H17" i="23"/>
  <c r="F17" i="23"/>
  <c r="L16" i="23"/>
  <c r="K16" i="23"/>
  <c r="J16" i="23"/>
  <c r="I16" i="23"/>
  <c r="H16" i="23"/>
  <c r="F16" i="23"/>
  <c r="I15" i="23"/>
  <c r="J15" i="23" s="1"/>
  <c r="H15" i="23"/>
  <c r="F15" i="23"/>
  <c r="J14" i="23"/>
  <c r="I14" i="23"/>
  <c r="H14" i="23"/>
  <c r="F14" i="23"/>
  <c r="I13" i="23"/>
  <c r="J13" i="23" s="1"/>
  <c r="H13" i="23"/>
  <c r="F13" i="23"/>
  <c r="L12" i="23"/>
  <c r="K12" i="23"/>
  <c r="J12" i="23"/>
  <c r="I12" i="23"/>
  <c r="H12" i="23"/>
  <c r="F12" i="23"/>
  <c r="J11" i="23"/>
  <c r="I11" i="23"/>
  <c r="H11" i="23"/>
  <c r="F11" i="23"/>
  <c r="I10" i="23"/>
  <c r="J10" i="23" s="1"/>
  <c r="H10" i="23"/>
  <c r="F10" i="23"/>
  <c r="I9" i="23"/>
  <c r="J9" i="23" s="1"/>
  <c r="H9" i="23"/>
  <c r="F9" i="23"/>
  <c r="K8" i="23"/>
  <c r="J8" i="23"/>
  <c r="L8" i="23" s="1"/>
  <c r="I8" i="23"/>
  <c r="H8" i="23"/>
  <c r="F8" i="23"/>
  <c r="I7" i="23"/>
  <c r="J7" i="23" s="1"/>
  <c r="H7" i="23"/>
  <c r="F7" i="23"/>
  <c r="J6" i="23"/>
  <c r="I6" i="23"/>
  <c r="H6" i="23"/>
  <c r="F6" i="23"/>
  <c r="I5" i="23"/>
  <c r="J5" i="23" s="1"/>
  <c r="H5" i="23"/>
  <c r="F5" i="23"/>
  <c r="J4" i="23"/>
  <c r="I4" i="23"/>
  <c r="G8" i="24" s="1"/>
  <c r="G12" i="24" s="1"/>
  <c r="H4" i="23"/>
  <c r="F4" i="23"/>
  <c r="J3" i="23"/>
  <c r="K3" i="23" s="1"/>
  <c r="L3" i="23" s="1"/>
  <c r="I3" i="23"/>
  <c r="I8" i="24" s="1"/>
  <c r="I12" i="24" s="1"/>
  <c r="H3" i="23"/>
  <c r="F3" i="23"/>
  <c r="H202" i="22"/>
  <c r="I202" i="22" s="1"/>
  <c r="L202" i="22" s="1"/>
  <c r="F202" i="22"/>
  <c r="C202" i="22"/>
  <c r="H201" i="22"/>
  <c r="I201" i="22" s="1"/>
  <c r="L201" i="22" s="1"/>
  <c r="F201" i="22"/>
  <c r="C201" i="22"/>
  <c r="L200" i="22"/>
  <c r="I200" i="22"/>
  <c r="H200" i="22"/>
  <c r="F200" i="22"/>
  <c r="C200" i="22"/>
  <c r="I199" i="22"/>
  <c r="L199" i="22" s="1"/>
  <c r="H199" i="22"/>
  <c r="F199" i="22"/>
  <c r="C199" i="22"/>
  <c r="H198" i="22"/>
  <c r="I198" i="22" s="1"/>
  <c r="L198" i="22" s="1"/>
  <c r="F198" i="22"/>
  <c r="C198" i="22"/>
  <c r="I197" i="22"/>
  <c r="L197" i="22" s="1"/>
  <c r="H197" i="22"/>
  <c r="F197" i="22"/>
  <c r="C197" i="22"/>
  <c r="I196" i="22"/>
  <c r="L196" i="22" s="1"/>
  <c r="H196" i="22"/>
  <c r="F196" i="22"/>
  <c r="C196" i="22"/>
  <c r="L195" i="22"/>
  <c r="I195" i="22"/>
  <c r="H195" i="22"/>
  <c r="F195" i="22"/>
  <c r="C195" i="22"/>
  <c r="H194" i="22"/>
  <c r="I194" i="22" s="1"/>
  <c r="L194" i="22" s="1"/>
  <c r="F194" i="22"/>
  <c r="C194" i="22"/>
  <c r="I193" i="22"/>
  <c r="L193" i="22" s="1"/>
  <c r="H193" i="22"/>
  <c r="F193" i="22"/>
  <c r="C193" i="22"/>
  <c r="H192" i="22"/>
  <c r="I192" i="22" s="1"/>
  <c r="L192" i="22" s="1"/>
  <c r="F192" i="22"/>
  <c r="C192" i="22"/>
  <c r="H191" i="22"/>
  <c r="I191" i="22" s="1"/>
  <c r="L191" i="22" s="1"/>
  <c r="F191" i="22"/>
  <c r="C191" i="22"/>
  <c r="L190" i="22"/>
  <c r="I190" i="22"/>
  <c r="H190" i="22"/>
  <c r="F190" i="22"/>
  <c r="C190" i="22"/>
  <c r="I189" i="22"/>
  <c r="L189" i="22" s="1"/>
  <c r="H189" i="22"/>
  <c r="F189" i="22"/>
  <c r="C189" i="22"/>
  <c r="H188" i="22"/>
  <c r="I188" i="22" s="1"/>
  <c r="L188" i="22" s="1"/>
  <c r="F188" i="22"/>
  <c r="C188" i="22"/>
  <c r="H187" i="22"/>
  <c r="I187" i="22" s="1"/>
  <c r="L187" i="22" s="1"/>
  <c r="F187" i="22"/>
  <c r="C187" i="22"/>
  <c r="H186" i="22"/>
  <c r="I186" i="22" s="1"/>
  <c r="L186" i="22" s="1"/>
  <c r="F186" i="22"/>
  <c r="C186" i="22"/>
  <c r="L185" i="22"/>
  <c r="I185" i="22"/>
  <c r="H185" i="22"/>
  <c r="F185" i="22"/>
  <c r="C185" i="22"/>
  <c r="L184" i="22"/>
  <c r="H184" i="22"/>
  <c r="I184" i="22" s="1"/>
  <c r="F184" i="22"/>
  <c r="C184" i="22"/>
  <c r="H183" i="22"/>
  <c r="I183" i="22" s="1"/>
  <c r="L183" i="22" s="1"/>
  <c r="F183" i="22"/>
  <c r="C183" i="22"/>
  <c r="H182" i="22"/>
  <c r="I182" i="22" s="1"/>
  <c r="L182" i="22" s="1"/>
  <c r="F182" i="22"/>
  <c r="C182" i="22"/>
  <c r="H181" i="22"/>
  <c r="I181" i="22" s="1"/>
  <c r="L181" i="22" s="1"/>
  <c r="F181" i="22"/>
  <c r="C181" i="22"/>
  <c r="L180" i="22"/>
  <c r="I180" i="22"/>
  <c r="H180" i="22"/>
  <c r="F180" i="22"/>
  <c r="C180" i="22"/>
  <c r="I179" i="22"/>
  <c r="L179" i="22" s="1"/>
  <c r="H179" i="22"/>
  <c r="F179" i="22"/>
  <c r="C179" i="22"/>
  <c r="H178" i="22"/>
  <c r="I178" i="22" s="1"/>
  <c r="L178" i="22" s="1"/>
  <c r="F178" i="22"/>
  <c r="C178" i="22"/>
  <c r="H177" i="22"/>
  <c r="I177" i="22" s="1"/>
  <c r="L177" i="22" s="1"/>
  <c r="F177" i="22"/>
  <c r="C177" i="22"/>
  <c r="H176" i="22"/>
  <c r="I176" i="22" s="1"/>
  <c r="L176" i="22" s="1"/>
  <c r="F176" i="22"/>
  <c r="C176" i="22"/>
  <c r="L175" i="22"/>
  <c r="I175" i="22"/>
  <c r="H175" i="22"/>
  <c r="F175" i="22"/>
  <c r="C175" i="22"/>
  <c r="H174" i="22"/>
  <c r="I174" i="22" s="1"/>
  <c r="L174" i="22" s="1"/>
  <c r="F174" i="22"/>
  <c r="C174" i="22"/>
  <c r="I173" i="22"/>
  <c r="L173" i="22" s="1"/>
  <c r="H173" i="22"/>
  <c r="F173" i="22"/>
  <c r="C173" i="22"/>
  <c r="I172" i="22"/>
  <c r="L172" i="22" s="1"/>
  <c r="H172" i="22"/>
  <c r="F172" i="22"/>
  <c r="C172" i="22"/>
  <c r="I171" i="22"/>
  <c r="L171" i="22" s="1"/>
  <c r="H171" i="22"/>
  <c r="F171" i="22"/>
  <c r="C171" i="22"/>
  <c r="H170" i="22"/>
  <c r="I170" i="22" s="1"/>
  <c r="L170" i="22" s="1"/>
  <c r="F170" i="22"/>
  <c r="C170" i="22"/>
  <c r="H169" i="22"/>
  <c r="I169" i="22" s="1"/>
  <c r="L169" i="22" s="1"/>
  <c r="F169" i="22"/>
  <c r="C169" i="22"/>
  <c r="H168" i="22"/>
  <c r="I168" i="22" s="1"/>
  <c r="L168" i="22" s="1"/>
  <c r="F168" i="22"/>
  <c r="C168" i="22"/>
  <c r="H167" i="22"/>
  <c r="I167" i="22" s="1"/>
  <c r="L167" i="22" s="1"/>
  <c r="F167" i="22"/>
  <c r="C167" i="22"/>
  <c r="L166" i="22"/>
  <c r="I166" i="22"/>
  <c r="H166" i="22"/>
  <c r="F166" i="22"/>
  <c r="C166" i="22"/>
  <c r="I165" i="22"/>
  <c r="L165" i="22" s="1"/>
  <c r="H165" i="22"/>
  <c r="F165" i="22"/>
  <c r="C165" i="22"/>
  <c r="H164" i="22"/>
  <c r="I164" i="22" s="1"/>
  <c r="L164" i="22" s="1"/>
  <c r="F164" i="22"/>
  <c r="C164" i="22"/>
  <c r="I163" i="22"/>
  <c r="L163" i="22" s="1"/>
  <c r="H163" i="22"/>
  <c r="F163" i="22"/>
  <c r="C163" i="22"/>
  <c r="I162" i="22"/>
  <c r="L162" i="22" s="1"/>
  <c r="H162" i="22"/>
  <c r="F162" i="22"/>
  <c r="C162" i="22"/>
  <c r="L161" i="22"/>
  <c r="I161" i="22"/>
  <c r="H161" i="22"/>
  <c r="F161" i="22"/>
  <c r="C161" i="22"/>
  <c r="L160" i="22"/>
  <c r="H160" i="22"/>
  <c r="I160" i="22" s="1"/>
  <c r="F160" i="22"/>
  <c r="C160" i="22"/>
  <c r="H159" i="22"/>
  <c r="I159" i="22" s="1"/>
  <c r="L159" i="22" s="1"/>
  <c r="F159" i="22"/>
  <c r="C159" i="22"/>
  <c r="I158" i="22"/>
  <c r="L158" i="22" s="1"/>
  <c r="H158" i="22"/>
  <c r="F158" i="22"/>
  <c r="C158" i="22"/>
  <c r="I157" i="22"/>
  <c r="L157" i="22" s="1"/>
  <c r="H157" i="22"/>
  <c r="F157" i="22"/>
  <c r="C157" i="22"/>
  <c r="L156" i="22"/>
  <c r="I156" i="22"/>
  <c r="H156" i="22"/>
  <c r="F156" i="22"/>
  <c r="C156" i="22"/>
  <c r="I155" i="22"/>
  <c r="L155" i="22" s="1"/>
  <c r="H155" i="22"/>
  <c r="F155" i="22"/>
  <c r="C155" i="22"/>
  <c r="H154" i="22"/>
  <c r="I154" i="22" s="1"/>
  <c r="L154" i="22" s="1"/>
  <c r="F154" i="22"/>
  <c r="C154" i="22"/>
  <c r="I153" i="22"/>
  <c r="L153" i="22" s="1"/>
  <c r="H153" i="22"/>
  <c r="F153" i="22"/>
  <c r="C153" i="22"/>
  <c r="I152" i="22"/>
  <c r="L152" i="22" s="1"/>
  <c r="H152" i="22"/>
  <c r="F152" i="22"/>
  <c r="C152" i="22"/>
  <c r="L151" i="22"/>
  <c r="I151" i="22"/>
  <c r="H151" i="22"/>
  <c r="F151" i="22"/>
  <c r="C151" i="22"/>
  <c r="H150" i="22"/>
  <c r="I150" i="22" s="1"/>
  <c r="L150" i="22" s="1"/>
  <c r="F150" i="22"/>
  <c r="C150" i="22"/>
  <c r="I149" i="22"/>
  <c r="L149" i="22" s="1"/>
  <c r="H149" i="22"/>
  <c r="F149" i="22"/>
  <c r="C149" i="22"/>
  <c r="H148" i="22"/>
  <c r="I148" i="22" s="1"/>
  <c r="L148" i="22" s="1"/>
  <c r="F148" i="22"/>
  <c r="C148" i="22"/>
  <c r="H147" i="22"/>
  <c r="I147" i="22" s="1"/>
  <c r="L147" i="22" s="1"/>
  <c r="F147" i="22"/>
  <c r="C147" i="22"/>
  <c r="L146" i="22"/>
  <c r="I146" i="22"/>
  <c r="H146" i="22"/>
  <c r="F146" i="22"/>
  <c r="C146" i="22"/>
  <c r="I145" i="22"/>
  <c r="L145" i="22" s="1"/>
  <c r="H145" i="22"/>
  <c r="F145" i="22"/>
  <c r="C145" i="22"/>
  <c r="H144" i="22"/>
  <c r="I144" i="22" s="1"/>
  <c r="L144" i="22" s="1"/>
  <c r="F144" i="22"/>
  <c r="C144" i="22"/>
  <c r="H143" i="22"/>
  <c r="I143" i="22" s="1"/>
  <c r="L143" i="22" s="1"/>
  <c r="F143" i="22"/>
  <c r="C143" i="22"/>
  <c r="H142" i="22"/>
  <c r="I142" i="22" s="1"/>
  <c r="L142" i="22" s="1"/>
  <c r="F142" i="22"/>
  <c r="C142" i="22"/>
  <c r="L141" i="22"/>
  <c r="I141" i="22"/>
  <c r="H141" i="22"/>
  <c r="F141" i="22"/>
  <c r="C141" i="22"/>
  <c r="H140" i="22"/>
  <c r="I140" i="22" s="1"/>
  <c r="L140" i="22" s="1"/>
  <c r="F140" i="22"/>
  <c r="C140" i="22"/>
  <c r="I139" i="22"/>
  <c r="L139" i="22" s="1"/>
  <c r="H139" i="22"/>
  <c r="F139" i="22"/>
  <c r="C139" i="22"/>
  <c r="I138" i="22"/>
  <c r="L138" i="22" s="1"/>
  <c r="H138" i="22"/>
  <c r="F138" i="22"/>
  <c r="C138" i="22"/>
  <c r="I137" i="22"/>
  <c r="L137" i="22" s="1"/>
  <c r="H137" i="22"/>
  <c r="F137" i="22"/>
  <c r="C137" i="22"/>
  <c r="L136" i="22"/>
  <c r="H136" i="22"/>
  <c r="I136" i="22" s="1"/>
  <c r="F136" i="22"/>
  <c r="C136" i="22"/>
  <c r="H135" i="22"/>
  <c r="I135" i="22" s="1"/>
  <c r="L135" i="22" s="1"/>
  <c r="F135" i="22"/>
  <c r="C135" i="22"/>
  <c r="I134" i="22"/>
  <c r="L134" i="22" s="1"/>
  <c r="H134" i="22"/>
  <c r="F134" i="22"/>
  <c r="C134" i="22"/>
  <c r="I133" i="22"/>
  <c r="L133" i="22" s="1"/>
  <c r="H133" i="22"/>
  <c r="F133" i="22"/>
  <c r="C133" i="22"/>
  <c r="I132" i="22"/>
  <c r="L132" i="22" s="1"/>
  <c r="H132" i="22"/>
  <c r="F132" i="22"/>
  <c r="C132" i="22"/>
  <c r="I131" i="22"/>
  <c r="L131" i="22" s="1"/>
  <c r="H131" i="22"/>
  <c r="F131" i="22"/>
  <c r="C131" i="22"/>
  <c r="H130" i="22"/>
  <c r="I130" i="22" s="1"/>
  <c r="L130" i="22" s="1"/>
  <c r="F130" i="22"/>
  <c r="C130" i="22"/>
  <c r="I129" i="22"/>
  <c r="L129" i="22" s="1"/>
  <c r="H129" i="22"/>
  <c r="F129" i="22"/>
  <c r="C129" i="22"/>
  <c r="I128" i="22"/>
  <c r="L128" i="22" s="1"/>
  <c r="H128" i="22"/>
  <c r="F128" i="22"/>
  <c r="C128" i="22"/>
  <c r="I127" i="22"/>
  <c r="L127" i="22" s="1"/>
  <c r="H127" i="22"/>
  <c r="F127" i="22"/>
  <c r="C127" i="22"/>
  <c r="H126" i="22"/>
  <c r="I126" i="22" s="1"/>
  <c r="L126" i="22" s="1"/>
  <c r="F126" i="22"/>
  <c r="C126" i="22"/>
  <c r="H125" i="22"/>
  <c r="I125" i="22" s="1"/>
  <c r="L125" i="22" s="1"/>
  <c r="F125" i="22"/>
  <c r="C125" i="22"/>
  <c r="H124" i="22"/>
  <c r="I124" i="22" s="1"/>
  <c r="L124" i="22" s="1"/>
  <c r="F124" i="22"/>
  <c r="C124" i="22"/>
  <c r="H123" i="22"/>
  <c r="I123" i="22" s="1"/>
  <c r="L123" i="22" s="1"/>
  <c r="F123" i="22"/>
  <c r="C123" i="22"/>
  <c r="L122" i="22"/>
  <c r="I122" i="22"/>
  <c r="H122" i="22"/>
  <c r="F122" i="22"/>
  <c r="C122" i="22"/>
  <c r="I121" i="22"/>
  <c r="L121" i="22" s="1"/>
  <c r="H121" i="22"/>
  <c r="F121" i="22"/>
  <c r="C121" i="22"/>
  <c r="H120" i="22"/>
  <c r="I120" i="22" s="1"/>
  <c r="L120" i="22" s="1"/>
  <c r="F120" i="22"/>
  <c r="C120" i="22"/>
  <c r="I119" i="22"/>
  <c r="L119" i="22" s="1"/>
  <c r="H119" i="22"/>
  <c r="F119" i="22"/>
  <c r="C119" i="22"/>
  <c r="I118" i="22"/>
  <c r="L118" i="22" s="1"/>
  <c r="H118" i="22"/>
  <c r="F118" i="22"/>
  <c r="C118" i="22"/>
  <c r="L117" i="22"/>
  <c r="I117" i="22"/>
  <c r="H117" i="22"/>
  <c r="F117" i="22"/>
  <c r="C117" i="22"/>
  <c r="H116" i="22"/>
  <c r="I116" i="22" s="1"/>
  <c r="L116" i="22" s="1"/>
  <c r="F116" i="22"/>
  <c r="C116" i="22"/>
  <c r="I115" i="22"/>
  <c r="L115" i="22" s="1"/>
  <c r="H115" i="22"/>
  <c r="F115" i="22"/>
  <c r="C115" i="22"/>
  <c r="L114" i="22"/>
  <c r="I114" i="22"/>
  <c r="H114" i="22"/>
  <c r="F114" i="22"/>
  <c r="C114" i="22"/>
  <c r="H113" i="22"/>
  <c r="I113" i="22" s="1"/>
  <c r="L113" i="22" s="1"/>
  <c r="F113" i="22"/>
  <c r="C113" i="22"/>
  <c r="L112" i="22"/>
  <c r="H112" i="22"/>
  <c r="I112" i="22" s="1"/>
  <c r="F112" i="22"/>
  <c r="C112" i="22"/>
  <c r="H111" i="22"/>
  <c r="I111" i="22" s="1"/>
  <c r="L111" i="22" s="1"/>
  <c r="F111" i="22"/>
  <c r="C111" i="22"/>
  <c r="I110" i="22"/>
  <c r="L110" i="22" s="1"/>
  <c r="H110" i="22"/>
  <c r="F110" i="22"/>
  <c r="C110" i="22"/>
  <c r="L109" i="22"/>
  <c r="I109" i="22"/>
  <c r="H109" i="22"/>
  <c r="F109" i="22"/>
  <c r="C109" i="22"/>
  <c r="H108" i="22"/>
  <c r="I108" i="22" s="1"/>
  <c r="L108" i="22" s="1"/>
  <c r="F108" i="22"/>
  <c r="C108" i="22"/>
  <c r="I107" i="22"/>
  <c r="L107" i="22" s="1"/>
  <c r="H107" i="22"/>
  <c r="F107" i="22"/>
  <c r="C107" i="22"/>
  <c r="H106" i="22"/>
  <c r="I106" i="22" s="1"/>
  <c r="L106" i="22" s="1"/>
  <c r="F106" i="22"/>
  <c r="C106" i="22"/>
  <c r="I105" i="22"/>
  <c r="L105" i="22" s="1"/>
  <c r="H105" i="22"/>
  <c r="F105" i="22"/>
  <c r="C105" i="22"/>
  <c r="L104" i="22"/>
  <c r="I104" i="22"/>
  <c r="H104" i="22"/>
  <c r="F104" i="22"/>
  <c r="C104" i="22"/>
  <c r="H103" i="22"/>
  <c r="I103" i="22" s="1"/>
  <c r="L103" i="22" s="1"/>
  <c r="F103" i="22"/>
  <c r="C103" i="22"/>
  <c r="L102" i="22"/>
  <c r="I102" i="22"/>
  <c r="H102" i="22"/>
  <c r="F102" i="22"/>
  <c r="C102" i="22"/>
  <c r="H101" i="22"/>
  <c r="I101" i="22" s="1"/>
  <c r="L101" i="22" s="1"/>
  <c r="F101" i="22"/>
  <c r="C101" i="22"/>
  <c r="H100" i="22"/>
  <c r="I100" i="22" s="1"/>
  <c r="L100" i="22" s="1"/>
  <c r="F100" i="22"/>
  <c r="C100" i="22"/>
  <c r="H99" i="22"/>
  <c r="I99" i="22" s="1"/>
  <c r="L99" i="22" s="1"/>
  <c r="F99" i="22"/>
  <c r="C99" i="22"/>
  <c r="H98" i="22"/>
  <c r="I98" i="22" s="1"/>
  <c r="L98" i="22" s="1"/>
  <c r="F98" i="22"/>
  <c r="C98" i="22"/>
  <c r="L97" i="22"/>
  <c r="I97" i="22"/>
  <c r="H97" i="22"/>
  <c r="F97" i="22"/>
  <c r="C97" i="22"/>
  <c r="H96" i="22"/>
  <c r="I96" i="22" s="1"/>
  <c r="L96" i="22" s="1"/>
  <c r="F96" i="22"/>
  <c r="C96" i="22"/>
  <c r="I95" i="22"/>
  <c r="L95" i="22" s="1"/>
  <c r="H95" i="22"/>
  <c r="F95" i="22"/>
  <c r="C95" i="22"/>
  <c r="H94" i="22"/>
  <c r="I94" i="22" s="1"/>
  <c r="L94" i="22" s="1"/>
  <c r="F94" i="22"/>
  <c r="C94" i="22"/>
  <c r="I93" i="22"/>
  <c r="L93" i="22" s="1"/>
  <c r="H93" i="22"/>
  <c r="F93" i="22"/>
  <c r="C93" i="22"/>
  <c r="H92" i="22"/>
  <c r="I92" i="22" s="1"/>
  <c r="L92" i="22" s="1"/>
  <c r="F92" i="22"/>
  <c r="C92" i="22"/>
  <c r="H91" i="22"/>
  <c r="I91" i="22" s="1"/>
  <c r="L91" i="22" s="1"/>
  <c r="F91" i="22"/>
  <c r="C91" i="22"/>
  <c r="H90" i="22"/>
  <c r="I90" i="22" s="1"/>
  <c r="L90" i="22" s="1"/>
  <c r="F90" i="22"/>
  <c r="C90" i="22"/>
  <c r="H89" i="22"/>
  <c r="I89" i="22" s="1"/>
  <c r="L89" i="22" s="1"/>
  <c r="F89" i="22"/>
  <c r="C89" i="22"/>
  <c r="L88" i="22"/>
  <c r="H88" i="22"/>
  <c r="I88" i="22" s="1"/>
  <c r="F88" i="22"/>
  <c r="C88" i="22"/>
  <c r="H87" i="22"/>
  <c r="I87" i="22" s="1"/>
  <c r="L87" i="22" s="1"/>
  <c r="F87" i="22"/>
  <c r="C87" i="22"/>
  <c r="H86" i="22"/>
  <c r="I86" i="22" s="1"/>
  <c r="L86" i="22" s="1"/>
  <c r="F86" i="22"/>
  <c r="C86" i="22"/>
  <c r="H85" i="22"/>
  <c r="I85" i="22" s="1"/>
  <c r="L85" i="22" s="1"/>
  <c r="F85" i="22"/>
  <c r="C85" i="22"/>
  <c r="H84" i="22"/>
  <c r="I84" i="22" s="1"/>
  <c r="L84" i="22" s="1"/>
  <c r="F84" i="22"/>
  <c r="C84" i="22"/>
  <c r="I83" i="22"/>
  <c r="L83" i="22" s="1"/>
  <c r="H83" i="22"/>
  <c r="F83" i="22"/>
  <c r="C83" i="22"/>
  <c r="H82" i="22"/>
  <c r="I82" i="22" s="1"/>
  <c r="L82" i="22" s="1"/>
  <c r="F82" i="22"/>
  <c r="C82" i="22"/>
  <c r="H81" i="22"/>
  <c r="I81" i="22" s="1"/>
  <c r="L81" i="22" s="1"/>
  <c r="F81" i="22"/>
  <c r="C81" i="22"/>
  <c r="H80" i="22"/>
  <c r="I80" i="22" s="1"/>
  <c r="L80" i="22" s="1"/>
  <c r="F80" i="22"/>
  <c r="C80" i="22"/>
  <c r="H79" i="22"/>
  <c r="I79" i="22" s="1"/>
  <c r="L79" i="22" s="1"/>
  <c r="F79" i="22"/>
  <c r="C79" i="22"/>
  <c r="L78" i="22"/>
  <c r="I78" i="22"/>
  <c r="H78" i="22"/>
  <c r="F78" i="22"/>
  <c r="C78" i="22"/>
  <c r="I77" i="22"/>
  <c r="L77" i="22" s="1"/>
  <c r="H77" i="22"/>
  <c r="F77" i="22"/>
  <c r="C77" i="22"/>
  <c r="H76" i="22"/>
  <c r="I76" i="22" s="1"/>
  <c r="L76" i="22" s="1"/>
  <c r="F76" i="22"/>
  <c r="C76" i="22"/>
  <c r="I75" i="22"/>
  <c r="L75" i="22" s="1"/>
  <c r="H75" i="22"/>
  <c r="F75" i="22"/>
  <c r="C75" i="22"/>
  <c r="I74" i="22"/>
  <c r="L74" i="22" s="1"/>
  <c r="H74" i="22"/>
  <c r="F74" i="22"/>
  <c r="C74" i="22"/>
  <c r="L73" i="22"/>
  <c r="I73" i="22"/>
  <c r="H73" i="22"/>
  <c r="F73" i="22"/>
  <c r="C73" i="22"/>
  <c r="H72" i="22"/>
  <c r="I72" i="22" s="1"/>
  <c r="L72" i="22" s="1"/>
  <c r="F72" i="22"/>
  <c r="C72" i="22"/>
  <c r="I71" i="22"/>
  <c r="L71" i="22" s="1"/>
  <c r="H71" i="22"/>
  <c r="F71" i="22"/>
  <c r="C71" i="22"/>
  <c r="H70" i="22"/>
  <c r="I70" i="22" s="1"/>
  <c r="L70" i="22" s="1"/>
  <c r="F70" i="22"/>
  <c r="C70" i="22"/>
  <c r="H69" i="22"/>
  <c r="I69" i="22" s="1"/>
  <c r="L69" i="22" s="1"/>
  <c r="F69" i="22"/>
  <c r="C69" i="22"/>
  <c r="L68" i="22"/>
  <c r="I68" i="22"/>
  <c r="H68" i="22"/>
  <c r="F68" i="22"/>
  <c r="C68" i="22"/>
  <c r="I67" i="22"/>
  <c r="L67" i="22" s="1"/>
  <c r="H67" i="22"/>
  <c r="F67" i="22"/>
  <c r="C67" i="22"/>
  <c r="H66" i="22"/>
  <c r="I66" i="22" s="1"/>
  <c r="L66" i="22" s="1"/>
  <c r="F66" i="22"/>
  <c r="C66" i="22"/>
  <c r="H65" i="22"/>
  <c r="I65" i="22" s="1"/>
  <c r="L65" i="22" s="1"/>
  <c r="F65" i="22"/>
  <c r="C65" i="22"/>
  <c r="H64" i="22"/>
  <c r="I64" i="22" s="1"/>
  <c r="L64" i="22" s="1"/>
  <c r="F64" i="22"/>
  <c r="C64" i="22"/>
  <c r="L63" i="22"/>
  <c r="I63" i="22"/>
  <c r="H63" i="22"/>
  <c r="F63" i="22"/>
  <c r="C63" i="22"/>
  <c r="H62" i="22"/>
  <c r="I62" i="22" s="1"/>
  <c r="L62" i="22" s="1"/>
  <c r="F62" i="22"/>
  <c r="C62" i="22"/>
  <c r="I61" i="22"/>
  <c r="L61" i="22" s="1"/>
  <c r="H61" i="22"/>
  <c r="F61" i="22"/>
  <c r="C61" i="22"/>
  <c r="H60" i="22"/>
  <c r="I60" i="22" s="1"/>
  <c r="L60" i="22" s="1"/>
  <c r="F60" i="22"/>
  <c r="C60" i="22"/>
  <c r="H59" i="22"/>
  <c r="I59" i="22" s="1"/>
  <c r="L59" i="22" s="1"/>
  <c r="F59" i="22"/>
  <c r="C59" i="22"/>
  <c r="H58" i="22"/>
  <c r="I58" i="22" s="1"/>
  <c r="L58" i="22" s="1"/>
  <c r="F58" i="22"/>
  <c r="C58" i="22"/>
  <c r="H57" i="22"/>
  <c r="I57" i="22" s="1"/>
  <c r="L57" i="22" s="1"/>
  <c r="F57" i="22"/>
  <c r="C57" i="22"/>
  <c r="H56" i="22"/>
  <c r="I56" i="22" s="1"/>
  <c r="L56" i="22" s="1"/>
  <c r="F56" i="22"/>
  <c r="C56" i="22"/>
  <c r="H55" i="22"/>
  <c r="I55" i="22" s="1"/>
  <c r="L55" i="22" s="1"/>
  <c r="F55" i="22"/>
  <c r="C55" i="22"/>
  <c r="I54" i="22"/>
  <c r="L54" i="22" s="1"/>
  <c r="H54" i="22"/>
  <c r="F54" i="22"/>
  <c r="C54" i="22"/>
  <c r="I53" i="22"/>
  <c r="L53" i="22" s="1"/>
  <c r="H53" i="22"/>
  <c r="F53" i="22"/>
  <c r="C53" i="22"/>
  <c r="H52" i="22"/>
  <c r="I52" i="22" s="1"/>
  <c r="L52" i="22" s="1"/>
  <c r="F52" i="22"/>
  <c r="C52" i="22"/>
  <c r="I51" i="22"/>
  <c r="L51" i="22" s="1"/>
  <c r="H51" i="22"/>
  <c r="F51" i="22"/>
  <c r="C51" i="22"/>
  <c r="I50" i="22"/>
  <c r="L50" i="22" s="1"/>
  <c r="H50" i="22"/>
  <c r="F50" i="22"/>
  <c r="C50" i="22"/>
  <c r="L49" i="22"/>
  <c r="I49" i="22"/>
  <c r="H49" i="22"/>
  <c r="F49" i="22"/>
  <c r="C49" i="22"/>
  <c r="H48" i="22"/>
  <c r="I48" i="22" s="1"/>
  <c r="L48" i="22" s="1"/>
  <c r="F48" i="22"/>
  <c r="C48" i="22"/>
  <c r="I47" i="22"/>
  <c r="L47" i="22" s="1"/>
  <c r="H47" i="22"/>
  <c r="F47" i="22"/>
  <c r="C47" i="22"/>
  <c r="H46" i="22"/>
  <c r="I46" i="22" s="1"/>
  <c r="L46" i="22" s="1"/>
  <c r="F46" i="22"/>
  <c r="C46" i="22"/>
  <c r="H45" i="22"/>
  <c r="I45" i="22" s="1"/>
  <c r="L45" i="22" s="1"/>
  <c r="F45" i="22"/>
  <c r="C45" i="22"/>
  <c r="L44" i="22"/>
  <c r="I44" i="22"/>
  <c r="H44" i="22"/>
  <c r="F44" i="22"/>
  <c r="C44" i="22"/>
  <c r="I43" i="22"/>
  <c r="L43" i="22" s="1"/>
  <c r="H43" i="22"/>
  <c r="F43" i="22"/>
  <c r="C43" i="22"/>
  <c r="H42" i="22"/>
  <c r="I42" i="22" s="1"/>
  <c r="L42" i="22" s="1"/>
  <c r="F42" i="22"/>
  <c r="C42" i="22"/>
  <c r="H41" i="22"/>
  <c r="I41" i="22" s="1"/>
  <c r="L41" i="22" s="1"/>
  <c r="F41" i="22"/>
  <c r="C41" i="22"/>
  <c r="H40" i="22"/>
  <c r="I40" i="22" s="1"/>
  <c r="L40" i="22" s="1"/>
  <c r="F40" i="22"/>
  <c r="C40" i="22"/>
  <c r="L39" i="22"/>
  <c r="I39" i="22"/>
  <c r="H39" i="22"/>
  <c r="F39" i="22"/>
  <c r="C39" i="22"/>
  <c r="H38" i="22"/>
  <c r="I38" i="22" s="1"/>
  <c r="L38" i="22" s="1"/>
  <c r="F38" i="22"/>
  <c r="C38" i="22"/>
  <c r="I37" i="22"/>
  <c r="L37" i="22" s="1"/>
  <c r="H37" i="22"/>
  <c r="F37" i="22"/>
  <c r="C37" i="22"/>
  <c r="H36" i="22"/>
  <c r="I36" i="22" s="1"/>
  <c r="L36" i="22" s="1"/>
  <c r="F36" i="22"/>
  <c r="C36" i="22"/>
  <c r="H35" i="22"/>
  <c r="I35" i="22" s="1"/>
  <c r="L35" i="22" s="1"/>
  <c r="F35" i="22"/>
  <c r="C35" i="22"/>
  <c r="H34" i="22"/>
  <c r="I34" i="22" s="1"/>
  <c r="L34" i="22" s="1"/>
  <c r="F34" i="22"/>
  <c r="C34" i="22"/>
  <c r="H33" i="22"/>
  <c r="I33" i="22" s="1"/>
  <c r="L33" i="22" s="1"/>
  <c r="F33" i="22"/>
  <c r="C33" i="22"/>
  <c r="H32" i="22"/>
  <c r="I32" i="22" s="1"/>
  <c r="L32" i="22" s="1"/>
  <c r="F32" i="22"/>
  <c r="C32" i="22"/>
  <c r="H31" i="22"/>
  <c r="I31" i="22" s="1"/>
  <c r="L31" i="22" s="1"/>
  <c r="F31" i="22"/>
  <c r="C31" i="22"/>
  <c r="L30" i="22"/>
  <c r="I30" i="22"/>
  <c r="H30" i="22"/>
  <c r="F30" i="22"/>
  <c r="C30" i="22"/>
  <c r="I29" i="22"/>
  <c r="L29" i="22" s="1"/>
  <c r="H29" i="22"/>
  <c r="F29" i="22"/>
  <c r="C29" i="22"/>
  <c r="H28" i="22"/>
  <c r="I28" i="22" s="1"/>
  <c r="L28" i="22" s="1"/>
  <c r="F28" i="22"/>
  <c r="C28" i="22"/>
  <c r="I27" i="22"/>
  <c r="L27" i="22" s="1"/>
  <c r="H27" i="22"/>
  <c r="F27" i="22"/>
  <c r="C27" i="22"/>
  <c r="I26" i="22"/>
  <c r="L26" i="22" s="1"/>
  <c r="H26" i="22"/>
  <c r="F26" i="22"/>
  <c r="C26" i="22"/>
  <c r="L25" i="22"/>
  <c r="I25" i="22"/>
  <c r="H25" i="22"/>
  <c r="F25" i="22"/>
  <c r="C25" i="22"/>
  <c r="H24" i="22"/>
  <c r="I24" i="22" s="1"/>
  <c r="L24" i="22" s="1"/>
  <c r="F24" i="22"/>
  <c r="C24" i="22"/>
  <c r="I23" i="22"/>
  <c r="L23" i="22" s="1"/>
  <c r="H23" i="22"/>
  <c r="F23" i="22"/>
  <c r="C23" i="22"/>
  <c r="H22" i="22"/>
  <c r="I22" i="22" s="1"/>
  <c r="L22" i="22" s="1"/>
  <c r="F22" i="22"/>
  <c r="C22" i="22"/>
  <c r="H21" i="22"/>
  <c r="I21" i="22" s="1"/>
  <c r="L21" i="22" s="1"/>
  <c r="F21" i="22"/>
  <c r="C21" i="22"/>
  <c r="L20" i="22"/>
  <c r="I20" i="22"/>
  <c r="H20" i="22"/>
  <c r="F20" i="22"/>
  <c r="C20" i="22"/>
  <c r="I19" i="22"/>
  <c r="L19" i="22" s="1"/>
  <c r="H19" i="22"/>
  <c r="F19" i="22"/>
  <c r="C19" i="22"/>
  <c r="H18" i="22"/>
  <c r="I18" i="22" s="1"/>
  <c r="L18" i="22" s="1"/>
  <c r="F18" i="22"/>
  <c r="C18" i="22"/>
  <c r="K17" i="22"/>
  <c r="G17" i="22"/>
  <c r="F17" i="22"/>
  <c r="C17" i="22"/>
  <c r="K16" i="22"/>
  <c r="L16" i="22" s="1"/>
  <c r="I16" i="22"/>
  <c r="H16" i="22"/>
  <c r="G16" i="22"/>
  <c r="F16" i="22"/>
  <c r="C16" i="22"/>
  <c r="G15" i="22"/>
  <c r="F15" i="22"/>
  <c r="C15" i="22"/>
  <c r="G14" i="22"/>
  <c r="H14" i="22" s="1"/>
  <c r="I14" i="22" s="1"/>
  <c r="F14" i="22"/>
  <c r="C14" i="22"/>
  <c r="K13" i="22"/>
  <c r="H13" i="22"/>
  <c r="G13" i="22"/>
  <c r="F13" i="22"/>
  <c r="C13" i="22"/>
  <c r="K12" i="22"/>
  <c r="G12" i="22"/>
  <c r="F12" i="22"/>
  <c r="C12" i="22"/>
  <c r="H11" i="22"/>
  <c r="I11" i="22" s="1"/>
  <c r="G11" i="22"/>
  <c r="F11" i="22"/>
  <c r="C11" i="22"/>
  <c r="K10" i="22"/>
  <c r="H10" i="22"/>
  <c r="G10" i="22"/>
  <c r="I10" i="22" s="1"/>
  <c r="L10" i="22" s="1"/>
  <c r="F10" i="22"/>
  <c r="C10" i="22"/>
  <c r="L9" i="22"/>
  <c r="K9" i="22"/>
  <c r="I9" i="22"/>
  <c r="H9" i="22"/>
  <c r="G9" i="22"/>
  <c r="F9" i="22"/>
  <c r="C9" i="22"/>
  <c r="G8" i="22"/>
  <c r="F8" i="22"/>
  <c r="C8" i="22"/>
  <c r="G7" i="22"/>
  <c r="F7" i="22"/>
  <c r="C7" i="22"/>
  <c r="H6" i="22"/>
  <c r="I6" i="22" s="1"/>
  <c r="G6" i="22"/>
  <c r="F6" i="22"/>
  <c r="C6" i="22"/>
  <c r="H5" i="22"/>
  <c r="G5" i="22"/>
  <c r="I5" i="22" s="1"/>
  <c r="F5" i="22"/>
  <c r="C5" i="22"/>
  <c r="L4" i="22"/>
  <c r="K4" i="22"/>
  <c r="G4" i="22"/>
  <c r="H4" i="22" s="1"/>
  <c r="I4" i="22" s="1"/>
  <c r="F4" i="22"/>
  <c r="C4" i="22"/>
  <c r="G3" i="22"/>
  <c r="F3" i="22"/>
  <c r="C3" i="22"/>
  <c r="I502" i="21"/>
  <c r="H502" i="21"/>
  <c r="I501" i="21"/>
  <c r="H501" i="21"/>
  <c r="I500" i="21"/>
  <c r="H500" i="21"/>
  <c r="I499" i="21"/>
  <c r="H499" i="21"/>
  <c r="I498" i="21"/>
  <c r="H498" i="21"/>
  <c r="I497" i="21"/>
  <c r="H497" i="21"/>
  <c r="I496" i="21"/>
  <c r="H496" i="21"/>
  <c r="I495" i="21"/>
  <c r="H495" i="21"/>
  <c r="I494" i="21"/>
  <c r="H494" i="21"/>
  <c r="I493" i="21"/>
  <c r="H493" i="21"/>
  <c r="I492" i="21"/>
  <c r="H492" i="21"/>
  <c r="I491" i="21"/>
  <c r="H491" i="21"/>
  <c r="I490" i="21"/>
  <c r="H490" i="21"/>
  <c r="I489" i="21"/>
  <c r="H489" i="21"/>
  <c r="I488" i="21"/>
  <c r="H488" i="21"/>
  <c r="I487" i="21"/>
  <c r="H487" i="21"/>
  <c r="I486" i="21"/>
  <c r="H486" i="21"/>
  <c r="I485" i="21"/>
  <c r="H485" i="21"/>
  <c r="I484" i="21"/>
  <c r="H484" i="21"/>
  <c r="I483" i="21"/>
  <c r="H483" i="21"/>
  <c r="I482" i="21"/>
  <c r="H482" i="21"/>
  <c r="I481" i="21"/>
  <c r="H481" i="21"/>
  <c r="I480" i="21"/>
  <c r="H480" i="21"/>
  <c r="I479" i="21"/>
  <c r="H479" i="21"/>
  <c r="I478" i="21"/>
  <c r="H478" i="21"/>
  <c r="I477" i="21"/>
  <c r="H477" i="21"/>
  <c r="I476" i="21"/>
  <c r="H476" i="21"/>
  <c r="I475" i="21"/>
  <c r="H475" i="21"/>
  <c r="I474" i="21"/>
  <c r="H474" i="21"/>
  <c r="I473" i="21"/>
  <c r="H473" i="21"/>
  <c r="I472" i="21"/>
  <c r="H472" i="21"/>
  <c r="I471" i="21"/>
  <c r="H471" i="21"/>
  <c r="I470" i="21"/>
  <c r="H470" i="21"/>
  <c r="I469" i="21"/>
  <c r="H469" i="21"/>
  <c r="I468" i="21"/>
  <c r="H468" i="21"/>
  <c r="I467" i="21"/>
  <c r="H467" i="21"/>
  <c r="I466" i="21"/>
  <c r="H466" i="21"/>
  <c r="I465" i="21"/>
  <c r="H465" i="21"/>
  <c r="I464" i="21"/>
  <c r="H464" i="21"/>
  <c r="I463" i="21"/>
  <c r="H463" i="21"/>
  <c r="I462" i="21"/>
  <c r="H462" i="21"/>
  <c r="I461" i="21"/>
  <c r="H461" i="21"/>
  <c r="I460" i="21"/>
  <c r="H460" i="21"/>
  <c r="I459" i="21"/>
  <c r="H459" i="21"/>
  <c r="I458" i="21"/>
  <c r="H458" i="21"/>
  <c r="I457" i="21"/>
  <c r="H457" i="21"/>
  <c r="I456" i="21"/>
  <c r="H456" i="21"/>
  <c r="I455" i="21"/>
  <c r="H455" i="21"/>
  <c r="I454" i="21"/>
  <c r="H454" i="21"/>
  <c r="I453" i="21"/>
  <c r="H453" i="21"/>
  <c r="I452" i="21"/>
  <c r="H452" i="21"/>
  <c r="I451" i="21"/>
  <c r="H451" i="21"/>
  <c r="I450" i="21"/>
  <c r="H450" i="21"/>
  <c r="I449" i="21"/>
  <c r="H449" i="21"/>
  <c r="I448" i="21"/>
  <c r="H448" i="21"/>
  <c r="I447" i="21"/>
  <c r="H447" i="21"/>
  <c r="I446" i="21"/>
  <c r="H446" i="21"/>
  <c r="I445" i="21"/>
  <c r="H445" i="21"/>
  <c r="I444" i="21"/>
  <c r="H444" i="21"/>
  <c r="I443" i="21"/>
  <c r="H443" i="21"/>
  <c r="I442" i="21"/>
  <c r="H442" i="21"/>
  <c r="I441" i="21"/>
  <c r="H441" i="21"/>
  <c r="I440" i="21"/>
  <c r="H440" i="21"/>
  <c r="I439" i="21"/>
  <c r="H439" i="21"/>
  <c r="I438" i="21"/>
  <c r="H438" i="21"/>
  <c r="I437" i="21"/>
  <c r="H437" i="21"/>
  <c r="I436" i="21"/>
  <c r="H436" i="21"/>
  <c r="I435" i="21"/>
  <c r="H435" i="21"/>
  <c r="I434" i="21"/>
  <c r="H434" i="21"/>
  <c r="I433" i="21"/>
  <c r="H433" i="21"/>
  <c r="I432" i="21"/>
  <c r="H432" i="21"/>
  <c r="I431" i="21"/>
  <c r="H431" i="21"/>
  <c r="I430" i="21"/>
  <c r="H430" i="21"/>
  <c r="I429" i="21"/>
  <c r="H429" i="21"/>
  <c r="I428" i="21"/>
  <c r="H428" i="21"/>
  <c r="I427" i="21"/>
  <c r="H427" i="21"/>
  <c r="I426" i="21"/>
  <c r="H426" i="21"/>
  <c r="I425" i="21"/>
  <c r="H425" i="21"/>
  <c r="I424" i="21"/>
  <c r="H424" i="21"/>
  <c r="I423" i="21"/>
  <c r="H423" i="21"/>
  <c r="I422" i="21"/>
  <c r="H422" i="21"/>
  <c r="I421" i="21"/>
  <c r="H421" i="21"/>
  <c r="I420" i="21"/>
  <c r="H420" i="21"/>
  <c r="I419" i="21"/>
  <c r="H419" i="21"/>
  <c r="I418" i="21"/>
  <c r="H418" i="21"/>
  <c r="I417" i="21"/>
  <c r="H417" i="21"/>
  <c r="I416" i="21"/>
  <c r="H416" i="21"/>
  <c r="I415" i="21"/>
  <c r="H415" i="21"/>
  <c r="I414" i="21"/>
  <c r="H414" i="21"/>
  <c r="I413" i="21"/>
  <c r="H413" i="21"/>
  <c r="I412" i="21"/>
  <c r="H412" i="21"/>
  <c r="I411" i="21"/>
  <c r="H411" i="21"/>
  <c r="I410" i="21"/>
  <c r="H410" i="21"/>
  <c r="I409" i="21"/>
  <c r="H409" i="21"/>
  <c r="I408" i="21"/>
  <c r="H408" i="21"/>
  <c r="I407" i="21"/>
  <c r="H407" i="21"/>
  <c r="I406" i="21"/>
  <c r="H406" i="21"/>
  <c r="I405" i="21"/>
  <c r="H405" i="21"/>
  <c r="I404" i="21"/>
  <c r="H404" i="21"/>
  <c r="I403" i="21"/>
  <c r="H403" i="21"/>
  <c r="I402" i="21"/>
  <c r="H402" i="21"/>
  <c r="I401" i="21"/>
  <c r="H401" i="21"/>
  <c r="I400" i="21"/>
  <c r="H400" i="21"/>
  <c r="I399" i="21"/>
  <c r="H399" i="21"/>
  <c r="I398" i="21"/>
  <c r="H398" i="21"/>
  <c r="I397" i="21"/>
  <c r="H397" i="21"/>
  <c r="I396" i="21"/>
  <c r="H396" i="21"/>
  <c r="I395" i="21"/>
  <c r="H395" i="21"/>
  <c r="I394" i="21"/>
  <c r="H394" i="21"/>
  <c r="I393" i="21"/>
  <c r="H393" i="21"/>
  <c r="I392" i="21"/>
  <c r="H392" i="21"/>
  <c r="I391" i="21"/>
  <c r="H391" i="21"/>
  <c r="I390" i="21"/>
  <c r="H390" i="21"/>
  <c r="I389" i="21"/>
  <c r="H389" i="21"/>
  <c r="I388" i="21"/>
  <c r="H388" i="21"/>
  <c r="I387" i="21"/>
  <c r="H387" i="21"/>
  <c r="I386" i="21"/>
  <c r="H386" i="21"/>
  <c r="I385" i="21"/>
  <c r="H385" i="21"/>
  <c r="I384" i="21"/>
  <c r="H384" i="21"/>
  <c r="I383" i="21"/>
  <c r="H383" i="21"/>
  <c r="I382" i="21"/>
  <c r="H382" i="21"/>
  <c r="I381" i="21"/>
  <c r="H381" i="21"/>
  <c r="I380" i="21"/>
  <c r="H380" i="21"/>
  <c r="I379" i="21"/>
  <c r="H379" i="21"/>
  <c r="I378" i="21"/>
  <c r="H378" i="21"/>
  <c r="I377" i="21"/>
  <c r="H377" i="21"/>
  <c r="I376" i="21"/>
  <c r="H376" i="21"/>
  <c r="I375" i="21"/>
  <c r="H375" i="21"/>
  <c r="I374" i="21"/>
  <c r="H374" i="21"/>
  <c r="I373" i="21"/>
  <c r="H373" i="21"/>
  <c r="I372" i="21"/>
  <c r="H372" i="21"/>
  <c r="I371" i="21"/>
  <c r="H371" i="21"/>
  <c r="I370" i="21"/>
  <c r="H370" i="21"/>
  <c r="I369" i="21"/>
  <c r="H369" i="21"/>
  <c r="I368" i="21"/>
  <c r="H368" i="21"/>
  <c r="I367" i="21"/>
  <c r="H367" i="21"/>
  <c r="I366" i="21"/>
  <c r="H366" i="21"/>
  <c r="I365" i="21"/>
  <c r="H365" i="21"/>
  <c r="I364" i="21"/>
  <c r="H364" i="21"/>
  <c r="I363" i="21"/>
  <c r="H363" i="21"/>
  <c r="I362" i="21"/>
  <c r="H362" i="21"/>
  <c r="I361" i="21"/>
  <c r="H361" i="21"/>
  <c r="I360" i="21"/>
  <c r="H360" i="21"/>
  <c r="I359" i="21"/>
  <c r="H359" i="21"/>
  <c r="I358" i="21"/>
  <c r="H358" i="21"/>
  <c r="I357" i="21"/>
  <c r="H357" i="21"/>
  <c r="I356" i="21"/>
  <c r="H356" i="21"/>
  <c r="I355" i="21"/>
  <c r="H355" i="21"/>
  <c r="I354" i="21"/>
  <c r="H354" i="21"/>
  <c r="I353" i="21"/>
  <c r="H353" i="21"/>
  <c r="I352" i="21"/>
  <c r="H352" i="21"/>
  <c r="I351" i="21"/>
  <c r="H351" i="21"/>
  <c r="I350" i="21"/>
  <c r="H350" i="21"/>
  <c r="I349" i="21"/>
  <c r="H349" i="21"/>
  <c r="I348" i="21"/>
  <c r="H348" i="21"/>
  <c r="I347" i="21"/>
  <c r="H347" i="21"/>
  <c r="I346" i="21"/>
  <c r="H346" i="21"/>
  <c r="I345" i="21"/>
  <c r="H345" i="21"/>
  <c r="I344" i="21"/>
  <c r="H344" i="21"/>
  <c r="I343" i="21"/>
  <c r="H343" i="21"/>
  <c r="I342" i="21"/>
  <c r="H342" i="21"/>
  <c r="I341" i="21"/>
  <c r="H341" i="21"/>
  <c r="I340" i="21"/>
  <c r="H340" i="21"/>
  <c r="I339" i="21"/>
  <c r="H339" i="21"/>
  <c r="I338" i="21"/>
  <c r="H338" i="21"/>
  <c r="I337" i="21"/>
  <c r="H337" i="21"/>
  <c r="I336" i="21"/>
  <c r="H336" i="21"/>
  <c r="I335" i="21"/>
  <c r="H335" i="21"/>
  <c r="I334" i="21"/>
  <c r="H334" i="21"/>
  <c r="I333" i="21"/>
  <c r="H333" i="21"/>
  <c r="I332" i="21"/>
  <c r="H332" i="21"/>
  <c r="I331" i="21"/>
  <c r="H331" i="21"/>
  <c r="I330" i="21"/>
  <c r="H330" i="21"/>
  <c r="I329" i="21"/>
  <c r="H329" i="21"/>
  <c r="I328" i="21"/>
  <c r="H328" i="21"/>
  <c r="I327" i="21"/>
  <c r="H327" i="21"/>
  <c r="I326" i="21"/>
  <c r="H326" i="21"/>
  <c r="I325" i="21"/>
  <c r="H325" i="21"/>
  <c r="I324" i="21"/>
  <c r="H324" i="21"/>
  <c r="I323" i="21"/>
  <c r="H323" i="21"/>
  <c r="I322" i="21"/>
  <c r="H322" i="21"/>
  <c r="I321" i="21"/>
  <c r="H321" i="21"/>
  <c r="I320" i="21"/>
  <c r="H320" i="21"/>
  <c r="I319" i="21"/>
  <c r="H319" i="21"/>
  <c r="I318" i="21"/>
  <c r="H318" i="21"/>
  <c r="I317" i="21"/>
  <c r="H317" i="21"/>
  <c r="I316" i="21"/>
  <c r="H316" i="21"/>
  <c r="I315" i="21"/>
  <c r="H315" i="21"/>
  <c r="I314" i="21"/>
  <c r="H314" i="21"/>
  <c r="I313" i="21"/>
  <c r="H313" i="21"/>
  <c r="I312" i="21"/>
  <c r="H312" i="21"/>
  <c r="I311" i="21"/>
  <c r="H311" i="21"/>
  <c r="I310" i="21"/>
  <c r="H310" i="21"/>
  <c r="I309" i="21"/>
  <c r="H309" i="21"/>
  <c r="I308" i="21"/>
  <c r="H308" i="21"/>
  <c r="I307" i="21"/>
  <c r="H307" i="21"/>
  <c r="I306" i="21"/>
  <c r="H306" i="21"/>
  <c r="I305" i="21"/>
  <c r="H305" i="21"/>
  <c r="I304" i="21"/>
  <c r="H304" i="21"/>
  <c r="I303" i="21"/>
  <c r="H303" i="21"/>
  <c r="I302" i="21"/>
  <c r="H302" i="21"/>
  <c r="I301" i="21"/>
  <c r="H301" i="21"/>
  <c r="I300" i="21"/>
  <c r="H300" i="21"/>
  <c r="I299" i="21"/>
  <c r="H299" i="21"/>
  <c r="I298" i="21"/>
  <c r="H298" i="21"/>
  <c r="I297" i="21"/>
  <c r="H297" i="21"/>
  <c r="I296" i="21"/>
  <c r="H296" i="21"/>
  <c r="I295" i="21"/>
  <c r="H295" i="21"/>
  <c r="I294" i="21"/>
  <c r="H294" i="21"/>
  <c r="I293" i="21"/>
  <c r="H293" i="21"/>
  <c r="I292" i="21"/>
  <c r="H292" i="21"/>
  <c r="I291" i="21"/>
  <c r="H291" i="21"/>
  <c r="I290" i="21"/>
  <c r="H290" i="21"/>
  <c r="I289" i="21"/>
  <c r="H289" i="21"/>
  <c r="I288" i="21"/>
  <c r="H288" i="21"/>
  <c r="I287" i="21"/>
  <c r="H287" i="21"/>
  <c r="I286" i="21"/>
  <c r="H286" i="21"/>
  <c r="I285" i="21"/>
  <c r="H285" i="21"/>
  <c r="I284" i="21"/>
  <c r="H284" i="21"/>
  <c r="I283" i="21"/>
  <c r="H283" i="21"/>
  <c r="I282" i="21"/>
  <c r="H282" i="21"/>
  <c r="I281" i="21"/>
  <c r="H281" i="21"/>
  <c r="I280" i="21"/>
  <c r="H280" i="21"/>
  <c r="I279" i="21"/>
  <c r="H279" i="21"/>
  <c r="I278" i="21"/>
  <c r="H278" i="21"/>
  <c r="I277" i="21"/>
  <c r="H277" i="21"/>
  <c r="I276" i="21"/>
  <c r="H276" i="21"/>
  <c r="I275" i="21"/>
  <c r="H275" i="21"/>
  <c r="I274" i="21"/>
  <c r="H274" i="21"/>
  <c r="I273" i="21"/>
  <c r="H273" i="21"/>
  <c r="I272" i="21"/>
  <c r="H272" i="21"/>
  <c r="I271" i="21"/>
  <c r="H271" i="21"/>
  <c r="I270" i="21"/>
  <c r="H270" i="21"/>
  <c r="I269" i="21"/>
  <c r="H269" i="21"/>
  <c r="I268" i="21"/>
  <c r="H268" i="21"/>
  <c r="I267" i="21"/>
  <c r="H267" i="21"/>
  <c r="I266" i="21"/>
  <c r="H266" i="21"/>
  <c r="I265" i="21"/>
  <c r="H265" i="21"/>
  <c r="I264" i="21"/>
  <c r="H264" i="21"/>
  <c r="I263" i="21"/>
  <c r="H263" i="21"/>
  <c r="I262" i="21"/>
  <c r="H262" i="21"/>
  <c r="I261" i="21"/>
  <c r="H261" i="21"/>
  <c r="I260" i="21"/>
  <c r="H260" i="21"/>
  <c r="I259" i="21"/>
  <c r="H259" i="21"/>
  <c r="I258" i="21"/>
  <c r="H258" i="21"/>
  <c r="I257" i="21"/>
  <c r="H257" i="21"/>
  <c r="I256" i="21"/>
  <c r="H256" i="21"/>
  <c r="I255" i="21"/>
  <c r="H255" i="21"/>
  <c r="I254" i="21"/>
  <c r="H254" i="21"/>
  <c r="I253" i="21"/>
  <c r="H253" i="21"/>
  <c r="I252" i="21"/>
  <c r="H252" i="21"/>
  <c r="I251" i="21"/>
  <c r="H251" i="21"/>
  <c r="I250" i="21"/>
  <c r="H250" i="21"/>
  <c r="I249" i="21"/>
  <c r="H249" i="21"/>
  <c r="I248" i="21"/>
  <c r="H248" i="21"/>
  <c r="I247" i="21"/>
  <c r="H247" i="21"/>
  <c r="I246" i="21"/>
  <c r="H246" i="21"/>
  <c r="I245" i="21"/>
  <c r="H245" i="21"/>
  <c r="I244" i="21"/>
  <c r="H244" i="21"/>
  <c r="I243" i="21"/>
  <c r="H243" i="21"/>
  <c r="I242" i="21"/>
  <c r="H242" i="21"/>
  <c r="I241" i="21"/>
  <c r="H241" i="21"/>
  <c r="I240" i="21"/>
  <c r="H240" i="21"/>
  <c r="I239" i="21"/>
  <c r="H239" i="21"/>
  <c r="I238" i="21"/>
  <c r="H238" i="21"/>
  <c r="I237" i="21"/>
  <c r="H237" i="21"/>
  <c r="I236" i="21"/>
  <c r="H236" i="21"/>
  <c r="I235" i="21"/>
  <c r="H235" i="21"/>
  <c r="I234" i="21"/>
  <c r="H234" i="21"/>
  <c r="I233" i="21"/>
  <c r="H233" i="21"/>
  <c r="I232" i="21"/>
  <c r="H232" i="21"/>
  <c r="I231" i="21"/>
  <c r="H231" i="21"/>
  <c r="I230" i="21"/>
  <c r="H230" i="21"/>
  <c r="I229" i="21"/>
  <c r="H229" i="21"/>
  <c r="I228" i="21"/>
  <c r="H228" i="21"/>
  <c r="I227" i="21"/>
  <c r="H227" i="21"/>
  <c r="I226" i="21"/>
  <c r="H226" i="21"/>
  <c r="I225" i="21"/>
  <c r="H225" i="21"/>
  <c r="I224" i="21"/>
  <c r="H224" i="21"/>
  <c r="I223" i="21"/>
  <c r="H223" i="21"/>
  <c r="I222" i="21"/>
  <c r="H222" i="21"/>
  <c r="I221" i="21"/>
  <c r="H221" i="21"/>
  <c r="I220" i="21"/>
  <c r="H220" i="21"/>
  <c r="I219" i="21"/>
  <c r="H219" i="21"/>
  <c r="I218" i="21"/>
  <c r="H218" i="21"/>
  <c r="I217" i="21"/>
  <c r="H217" i="21"/>
  <c r="I216" i="21"/>
  <c r="H216" i="21"/>
  <c r="I215" i="21"/>
  <c r="H215" i="21"/>
  <c r="I214" i="21"/>
  <c r="H214" i="21"/>
  <c r="I213" i="21"/>
  <c r="H213" i="21"/>
  <c r="I212" i="21"/>
  <c r="H212" i="21"/>
  <c r="I211" i="21"/>
  <c r="H211" i="21"/>
  <c r="I210" i="21"/>
  <c r="H210" i="21"/>
  <c r="I209" i="21"/>
  <c r="H209" i="21"/>
  <c r="I208" i="21"/>
  <c r="H208" i="21"/>
  <c r="I207" i="21"/>
  <c r="H207" i="21"/>
  <c r="I206" i="21"/>
  <c r="H206" i="21"/>
  <c r="I205" i="21"/>
  <c r="H205" i="21"/>
  <c r="I204" i="21"/>
  <c r="H204" i="21"/>
  <c r="I203" i="21"/>
  <c r="H203" i="21"/>
  <c r="I202" i="21"/>
  <c r="H202" i="21"/>
  <c r="I201" i="21"/>
  <c r="H201" i="21"/>
  <c r="I200" i="21"/>
  <c r="H200" i="21"/>
  <c r="I199" i="21"/>
  <c r="H199" i="21"/>
  <c r="I198" i="21"/>
  <c r="H198" i="21"/>
  <c r="I197" i="21"/>
  <c r="H197" i="21"/>
  <c r="I196" i="21"/>
  <c r="H196" i="21"/>
  <c r="I195" i="21"/>
  <c r="H195" i="21"/>
  <c r="I194" i="21"/>
  <c r="H194" i="21"/>
  <c r="I193" i="21"/>
  <c r="H193" i="21"/>
  <c r="I192" i="21"/>
  <c r="H192" i="21"/>
  <c r="I191" i="21"/>
  <c r="H191" i="21"/>
  <c r="I190" i="21"/>
  <c r="H190" i="21"/>
  <c r="I189" i="21"/>
  <c r="H189" i="21"/>
  <c r="I188" i="21"/>
  <c r="H188" i="21"/>
  <c r="I187" i="21"/>
  <c r="H187" i="21"/>
  <c r="I186" i="21"/>
  <c r="H186" i="21"/>
  <c r="I185" i="21"/>
  <c r="H185" i="21"/>
  <c r="I184" i="21"/>
  <c r="H184" i="21"/>
  <c r="I183" i="21"/>
  <c r="H183" i="21"/>
  <c r="I182" i="21"/>
  <c r="H182" i="21"/>
  <c r="I181" i="21"/>
  <c r="H181" i="21"/>
  <c r="I180" i="21"/>
  <c r="H180" i="21"/>
  <c r="I179" i="21"/>
  <c r="H179" i="21"/>
  <c r="I178" i="21"/>
  <c r="H178" i="21"/>
  <c r="I177" i="21"/>
  <c r="H177" i="21"/>
  <c r="I176" i="21"/>
  <c r="H176" i="21"/>
  <c r="I175" i="21"/>
  <c r="H175" i="21"/>
  <c r="I174" i="21"/>
  <c r="H174" i="21"/>
  <c r="I173" i="21"/>
  <c r="H173" i="21"/>
  <c r="I172" i="21"/>
  <c r="H172" i="21"/>
  <c r="I171" i="21"/>
  <c r="H171" i="21"/>
  <c r="I170" i="21"/>
  <c r="H170" i="21"/>
  <c r="I169" i="21"/>
  <c r="H169" i="21"/>
  <c r="I168" i="21"/>
  <c r="H168" i="21"/>
  <c r="I167" i="21"/>
  <c r="H167" i="21"/>
  <c r="I166" i="21"/>
  <c r="H166" i="21"/>
  <c r="I165" i="21"/>
  <c r="H165" i="21"/>
  <c r="I164" i="21"/>
  <c r="H164" i="21"/>
  <c r="I163" i="21"/>
  <c r="H163" i="21"/>
  <c r="I162" i="21"/>
  <c r="H162" i="21"/>
  <c r="I161" i="21"/>
  <c r="H161" i="21"/>
  <c r="I160" i="21"/>
  <c r="H160" i="21"/>
  <c r="I159" i="21"/>
  <c r="H159" i="21"/>
  <c r="I158" i="21"/>
  <c r="H158" i="21"/>
  <c r="I157" i="21"/>
  <c r="H157" i="21"/>
  <c r="I156" i="21"/>
  <c r="H156" i="21"/>
  <c r="I155" i="21"/>
  <c r="H155" i="21"/>
  <c r="I154" i="21"/>
  <c r="H154" i="21"/>
  <c r="I153" i="21"/>
  <c r="H153" i="21"/>
  <c r="I152" i="21"/>
  <c r="H152" i="21"/>
  <c r="I151" i="21"/>
  <c r="H151" i="21"/>
  <c r="I150" i="21"/>
  <c r="H150" i="21"/>
  <c r="I149" i="21"/>
  <c r="H149" i="21"/>
  <c r="I148" i="21"/>
  <c r="H148" i="21"/>
  <c r="I147" i="21"/>
  <c r="H147" i="21"/>
  <c r="I146" i="21"/>
  <c r="H146" i="21"/>
  <c r="I145" i="21"/>
  <c r="H145" i="21"/>
  <c r="I144" i="21"/>
  <c r="H144" i="21"/>
  <c r="I143" i="21"/>
  <c r="H143" i="21"/>
  <c r="I142" i="21"/>
  <c r="H142" i="21"/>
  <c r="I141" i="21"/>
  <c r="H141" i="21"/>
  <c r="I140" i="21"/>
  <c r="H140" i="21"/>
  <c r="I139" i="21"/>
  <c r="H139" i="21"/>
  <c r="I138" i="21"/>
  <c r="H138" i="21"/>
  <c r="I137" i="21"/>
  <c r="H137" i="21"/>
  <c r="I136" i="21"/>
  <c r="H136" i="21"/>
  <c r="I135" i="21"/>
  <c r="H135" i="21"/>
  <c r="I134" i="21"/>
  <c r="H134" i="21"/>
  <c r="I133" i="21"/>
  <c r="H133" i="21"/>
  <c r="I132" i="21"/>
  <c r="H132" i="21"/>
  <c r="I131" i="21"/>
  <c r="H131" i="21"/>
  <c r="I130" i="21"/>
  <c r="H130" i="21"/>
  <c r="I129" i="21"/>
  <c r="H129" i="21"/>
  <c r="I128" i="21"/>
  <c r="H128" i="21"/>
  <c r="I127" i="21"/>
  <c r="H127" i="21"/>
  <c r="I126" i="21"/>
  <c r="H126" i="21"/>
  <c r="I125" i="21"/>
  <c r="H125" i="21"/>
  <c r="I124" i="21"/>
  <c r="H124" i="21"/>
  <c r="I123" i="21"/>
  <c r="H123" i="21"/>
  <c r="I122" i="21"/>
  <c r="H122" i="21"/>
  <c r="I121" i="21"/>
  <c r="H121" i="21"/>
  <c r="I120" i="21"/>
  <c r="H120" i="21"/>
  <c r="I119" i="21"/>
  <c r="H119" i="21"/>
  <c r="I118" i="21"/>
  <c r="H118" i="21"/>
  <c r="I117" i="21"/>
  <c r="H117" i="21"/>
  <c r="I116" i="21"/>
  <c r="H116" i="21"/>
  <c r="I115" i="21"/>
  <c r="H115" i="21"/>
  <c r="I114" i="21"/>
  <c r="H114" i="21"/>
  <c r="I113" i="21"/>
  <c r="H113" i="21"/>
  <c r="I112" i="21"/>
  <c r="H112" i="21"/>
  <c r="I111" i="21"/>
  <c r="H111" i="21"/>
  <c r="I110" i="21"/>
  <c r="H110" i="21"/>
  <c r="I109" i="21"/>
  <c r="H109" i="21"/>
  <c r="I108" i="21"/>
  <c r="H108" i="21"/>
  <c r="I107" i="21"/>
  <c r="H107" i="21"/>
  <c r="I106" i="21"/>
  <c r="H106" i="21"/>
  <c r="I105" i="21"/>
  <c r="H105" i="21"/>
  <c r="I104" i="21"/>
  <c r="H104" i="21"/>
  <c r="I103" i="21"/>
  <c r="H103" i="21"/>
  <c r="I102" i="21"/>
  <c r="H102" i="21"/>
  <c r="I101" i="21"/>
  <c r="H101" i="21"/>
  <c r="I100" i="21"/>
  <c r="H100" i="21"/>
  <c r="I99" i="21"/>
  <c r="H99" i="21"/>
  <c r="I98" i="21"/>
  <c r="H98" i="21"/>
  <c r="I97" i="21"/>
  <c r="H97" i="21"/>
  <c r="I96" i="21"/>
  <c r="H96" i="21"/>
  <c r="I95" i="21"/>
  <c r="H95" i="21"/>
  <c r="I94" i="21"/>
  <c r="H94" i="21"/>
  <c r="I93" i="21"/>
  <c r="H93" i="21"/>
  <c r="I92" i="21"/>
  <c r="H92" i="21"/>
  <c r="I91" i="21"/>
  <c r="H91" i="21"/>
  <c r="I90" i="21"/>
  <c r="H90" i="21"/>
  <c r="I89" i="21"/>
  <c r="H89" i="21"/>
  <c r="I88" i="21"/>
  <c r="H88" i="21"/>
  <c r="I87" i="21"/>
  <c r="H87" i="21"/>
  <c r="I86" i="21"/>
  <c r="H86" i="21"/>
  <c r="I85" i="21"/>
  <c r="H85" i="21"/>
  <c r="I84" i="21"/>
  <c r="H84" i="21"/>
  <c r="I83" i="21"/>
  <c r="H83" i="21"/>
  <c r="I82" i="21"/>
  <c r="H82" i="21"/>
  <c r="I81" i="21"/>
  <c r="H81" i="21"/>
  <c r="I80" i="21"/>
  <c r="H80" i="21"/>
  <c r="I79" i="21"/>
  <c r="H79" i="21"/>
  <c r="I78" i="21"/>
  <c r="H78" i="21"/>
  <c r="I77" i="21"/>
  <c r="H77" i="21"/>
  <c r="I76" i="21"/>
  <c r="H76" i="21"/>
  <c r="I75" i="21"/>
  <c r="H75" i="21"/>
  <c r="I74" i="21"/>
  <c r="H74" i="21"/>
  <c r="I73" i="21"/>
  <c r="H73" i="21"/>
  <c r="I72" i="21"/>
  <c r="H72" i="21"/>
  <c r="I71" i="21"/>
  <c r="H71" i="21"/>
  <c r="I70" i="21"/>
  <c r="H70" i="21"/>
  <c r="I69" i="21"/>
  <c r="H69" i="21"/>
  <c r="I68" i="21"/>
  <c r="H68" i="21"/>
  <c r="I67" i="21"/>
  <c r="H67" i="21"/>
  <c r="I66" i="21"/>
  <c r="H66" i="21"/>
  <c r="I65" i="21"/>
  <c r="H65" i="21"/>
  <c r="I64" i="21"/>
  <c r="H64" i="21"/>
  <c r="I63" i="21"/>
  <c r="H63" i="21"/>
  <c r="I62" i="21"/>
  <c r="H62" i="21"/>
  <c r="I61" i="21"/>
  <c r="H61" i="21"/>
  <c r="I60" i="21"/>
  <c r="H60" i="21"/>
  <c r="I59" i="21"/>
  <c r="H59" i="21"/>
  <c r="I58" i="21"/>
  <c r="H58" i="21"/>
  <c r="I57" i="21"/>
  <c r="H57" i="21"/>
  <c r="I56" i="21"/>
  <c r="H56" i="21"/>
  <c r="I55" i="21"/>
  <c r="H55" i="21"/>
  <c r="I54" i="21"/>
  <c r="H54" i="21"/>
  <c r="I53" i="21"/>
  <c r="H53" i="21"/>
  <c r="I52" i="21"/>
  <c r="H52" i="21"/>
  <c r="I51" i="21"/>
  <c r="H51" i="21"/>
  <c r="I50" i="21"/>
  <c r="H50" i="21"/>
  <c r="I49" i="21"/>
  <c r="H49" i="21"/>
  <c r="I48" i="21"/>
  <c r="H48" i="21"/>
  <c r="I47" i="21"/>
  <c r="H47" i="21"/>
  <c r="I46" i="21"/>
  <c r="H46" i="21"/>
  <c r="I45" i="21"/>
  <c r="H45" i="21"/>
  <c r="I44" i="21"/>
  <c r="H44" i="21"/>
  <c r="I43" i="21"/>
  <c r="H43" i="21"/>
  <c r="I42" i="21"/>
  <c r="H42" i="21"/>
  <c r="I41" i="21"/>
  <c r="H41" i="21"/>
  <c r="I40" i="21"/>
  <c r="H40" i="21"/>
  <c r="I39" i="21"/>
  <c r="H39" i="21"/>
  <c r="I38" i="21"/>
  <c r="H38" i="21"/>
  <c r="I37" i="21"/>
  <c r="H37" i="21"/>
  <c r="I36" i="21"/>
  <c r="H36" i="21"/>
  <c r="I35" i="21"/>
  <c r="H35" i="21"/>
  <c r="I34" i="21"/>
  <c r="H34" i="21"/>
  <c r="I33" i="21"/>
  <c r="H33" i="21"/>
  <c r="I32" i="21"/>
  <c r="H32" i="21"/>
  <c r="I31" i="21"/>
  <c r="H31" i="21"/>
  <c r="I30" i="21"/>
  <c r="H30" i="21"/>
  <c r="I29" i="21"/>
  <c r="H29" i="21"/>
  <c r="I28" i="21"/>
  <c r="H28" i="21"/>
  <c r="I27" i="21"/>
  <c r="H27" i="21"/>
  <c r="I26" i="21"/>
  <c r="H26" i="21"/>
  <c r="I25" i="21"/>
  <c r="H25" i="21"/>
  <c r="I24" i="21"/>
  <c r="H24" i="21"/>
  <c r="I23" i="21"/>
  <c r="H23" i="21"/>
  <c r="I22" i="21"/>
  <c r="H22" i="21"/>
  <c r="I21" i="21"/>
  <c r="H21" i="21"/>
  <c r="I20" i="21"/>
  <c r="H20" i="21"/>
  <c r="I19" i="21"/>
  <c r="H19" i="21"/>
  <c r="I18" i="21"/>
  <c r="H18" i="21"/>
  <c r="I17" i="21"/>
  <c r="H17" i="21"/>
  <c r="I16" i="21"/>
  <c r="H16" i="21"/>
  <c r="I15" i="21"/>
  <c r="H15" i="21"/>
  <c r="H14" i="21"/>
  <c r="I14" i="21" s="1"/>
  <c r="H13" i="21"/>
  <c r="E4" i="25" s="1"/>
  <c r="H12" i="21"/>
  <c r="I12" i="21" s="1"/>
  <c r="I11" i="21"/>
  <c r="H11" i="21"/>
  <c r="I10" i="21"/>
  <c r="H10" i="21"/>
  <c r="I9" i="21"/>
  <c r="H9" i="21"/>
  <c r="I8" i="21"/>
  <c r="H8" i="21"/>
  <c r="I7" i="21"/>
  <c r="H7" i="21"/>
  <c r="H6" i="21"/>
  <c r="I6" i="21" s="1"/>
  <c r="I5" i="21"/>
  <c r="H5" i="21"/>
  <c r="I4" i="21"/>
  <c r="H4" i="21"/>
  <c r="I3" i="21"/>
  <c r="H3" i="21"/>
  <c r="H1" i="21"/>
  <c r="E25" i="20"/>
  <c r="H22" i="20"/>
  <c r="G22" i="20"/>
  <c r="F22" i="20"/>
  <c r="H21" i="20"/>
  <c r="G21" i="20"/>
  <c r="F21" i="20"/>
  <c r="H20" i="20"/>
  <c r="G20" i="20"/>
  <c r="F20" i="20"/>
  <c r="H19" i="20"/>
  <c r="G19" i="20"/>
  <c r="F19" i="20"/>
  <c r="H18" i="20"/>
  <c r="G18" i="20"/>
  <c r="F18" i="20"/>
  <c r="H17" i="20"/>
  <c r="G17" i="20"/>
  <c r="F17" i="20"/>
  <c r="H16" i="20"/>
  <c r="G16" i="20"/>
  <c r="F16" i="20"/>
  <c r="H15" i="20"/>
  <c r="G15" i="20"/>
  <c r="F15" i="20"/>
  <c r="H14" i="20"/>
  <c r="G14" i="20"/>
  <c r="F14" i="20"/>
  <c r="H13" i="20"/>
  <c r="G13" i="20"/>
  <c r="F13" i="20"/>
  <c r="H12" i="20"/>
  <c r="G12" i="20"/>
  <c r="F12" i="20"/>
  <c r="H11" i="20"/>
  <c r="G11" i="20"/>
  <c r="F11" i="20"/>
  <c r="H10" i="20"/>
  <c r="G10" i="20"/>
  <c r="F10" i="20"/>
  <c r="H9" i="20"/>
  <c r="G9" i="20"/>
  <c r="F9" i="20"/>
  <c r="H8" i="20"/>
  <c r="G8" i="20"/>
  <c r="F8" i="20"/>
  <c r="G7" i="20"/>
  <c r="F7" i="20"/>
  <c r="H7" i="20" s="1"/>
  <c r="G6" i="20"/>
  <c r="F6" i="20"/>
  <c r="H6" i="20" s="1"/>
  <c r="G5" i="20"/>
  <c r="F5" i="20"/>
  <c r="G4" i="20"/>
  <c r="F4" i="20"/>
  <c r="H4" i="20" s="1"/>
  <c r="G3" i="20"/>
  <c r="F3" i="20"/>
  <c r="I1002" i="19"/>
  <c r="I1001" i="19"/>
  <c r="I1000" i="19"/>
  <c r="I999" i="19"/>
  <c r="I998" i="19"/>
  <c r="I997" i="19"/>
  <c r="I996" i="19"/>
  <c r="I995" i="19"/>
  <c r="I994" i="19"/>
  <c r="I993" i="19"/>
  <c r="I992" i="19"/>
  <c r="I991" i="19"/>
  <c r="I990" i="19"/>
  <c r="I989" i="19"/>
  <c r="I988" i="19"/>
  <c r="I987" i="19"/>
  <c r="I986" i="19"/>
  <c r="I985" i="19"/>
  <c r="I984" i="19"/>
  <c r="I983" i="19"/>
  <c r="I982" i="19"/>
  <c r="I981" i="19"/>
  <c r="I980" i="19"/>
  <c r="I979" i="19"/>
  <c r="I978" i="19"/>
  <c r="I977" i="19"/>
  <c r="I976" i="19"/>
  <c r="I975" i="19"/>
  <c r="I974" i="19"/>
  <c r="I973" i="19"/>
  <c r="I972" i="19"/>
  <c r="I971" i="19"/>
  <c r="I970" i="19"/>
  <c r="I969" i="19"/>
  <c r="I968" i="19"/>
  <c r="I967" i="19"/>
  <c r="I966" i="19"/>
  <c r="I965" i="19"/>
  <c r="I964" i="19"/>
  <c r="I963" i="19"/>
  <c r="I962" i="19"/>
  <c r="I961" i="19"/>
  <c r="I960" i="19"/>
  <c r="I959" i="19"/>
  <c r="I958" i="19"/>
  <c r="I957" i="19"/>
  <c r="I956" i="19"/>
  <c r="I955" i="19"/>
  <c r="I954" i="19"/>
  <c r="I953" i="19"/>
  <c r="I952" i="19"/>
  <c r="I951" i="19"/>
  <c r="I950" i="19"/>
  <c r="I949" i="19"/>
  <c r="I948" i="19"/>
  <c r="I947" i="19"/>
  <c r="I946" i="19"/>
  <c r="I945" i="19"/>
  <c r="I944" i="19"/>
  <c r="I943" i="19"/>
  <c r="I942" i="19"/>
  <c r="I941" i="19"/>
  <c r="I940" i="19"/>
  <c r="I939" i="19"/>
  <c r="I938" i="19"/>
  <c r="I937" i="19"/>
  <c r="I936" i="19"/>
  <c r="I935" i="19"/>
  <c r="I934" i="19"/>
  <c r="I933" i="19"/>
  <c r="I932" i="19"/>
  <c r="I931" i="19"/>
  <c r="I930" i="19"/>
  <c r="I929" i="19"/>
  <c r="I928" i="19"/>
  <c r="I927" i="19"/>
  <c r="I926" i="19"/>
  <c r="I925" i="19"/>
  <c r="I924" i="19"/>
  <c r="I923" i="19"/>
  <c r="I922" i="19"/>
  <c r="I921" i="19"/>
  <c r="I920" i="19"/>
  <c r="I919" i="19"/>
  <c r="I918" i="19"/>
  <c r="I917" i="19"/>
  <c r="I916" i="19"/>
  <c r="I915" i="19"/>
  <c r="I914" i="19"/>
  <c r="I913" i="19"/>
  <c r="I912" i="19"/>
  <c r="I911" i="19"/>
  <c r="I910" i="19"/>
  <c r="I909" i="19"/>
  <c r="I908" i="19"/>
  <c r="I907" i="19"/>
  <c r="I906" i="19"/>
  <c r="I905" i="19"/>
  <c r="I904" i="19"/>
  <c r="I903" i="19"/>
  <c r="I902" i="19"/>
  <c r="I901" i="19"/>
  <c r="I900" i="19"/>
  <c r="I899" i="19"/>
  <c r="I898" i="19"/>
  <c r="I897" i="19"/>
  <c r="I896" i="19"/>
  <c r="I895" i="19"/>
  <c r="I894" i="19"/>
  <c r="I893" i="19"/>
  <c r="I892" i="19"/>
  <c r="I891" i="19"/>
  <c r="I890" i="19"/>
  <c r="I889" i="19"/>
  <c r="I888" i="19"/>
  <c r="I887" i="19"/>
  <c r="I886" i="19"/>
  <c r="I885" i="19"/>
  <c r="I884" i="19"/>
  <c r="I883" i="19"/>
  <c r="I882" i="19"/>
  <c r="I881" i="19"/>
  <c r="I880" i="19"/>
  <c r="I879" i="19"/>
  <c r="I878" i="19"/>
  <c r="I877" i="19"/>
  <c r="I876" i="19"/>
  <c r="I875" i="19"/>
  <c r="I874" i="19"/>
  <c r="I873" i="19"/>
  <c r="I872" i="19"/>
  <c r="I871" i="19"/>
  <c r="I870" i="19"/>
  <c r="I869" i="19"/>
  <c r="I868" i="19"/>
  <c r="I867" i="19"/>
  <c r="I866" i="19"/>
  <c r="I865" i="19"/>
  <c r="I864" i="19"/>
  <c r="I863" i="19"/>
  <c r="I862" i="19"/>
  <c r="I861" i="19"/>
  <c r="I860" i="19"/>
  <c r="I859" i="19"/>
  <c r="I858" i="19"/>
  <c r="I857" i="19"/>
  <c r="I856" i="19"/>
  <c r="I855" i="19"/>
  <c r="I854" i="19"/>
  <c r="I853" i="19"/>
  <c r="I852" i="19"/>
  <c r="I851" i="19"/>
  <c r="I850" i="19"/>
  <c r="I849" i="19"/>
  <c r="I848" i="19"/>
  <c r="I847" i="19"/>
  <c r="I846" i="19"/>
  <c r="I845" i="19"/>
  <c r="I844" i="19"/>
  <c r="I843" i="19"/>
  <c r="I842" i="19"/>
  <c r="I841" i="19"/>
  <c r="I840" i="19"/>
  <c r="I839" i="19"/>
  <c r="I838" i="19"/>
  <c r="I837" i="19"/>
  <c r="I836" i="19"/>
  <c r="I835" i="19"/>
  <c r="I834" i="19"/>
  <c r="I833" i="19"/>
  <c r="I832" i="19"/>
  <c r="I831" i="19"/>
  <c r="I830" i="19"/>
  <c r="I829" i="19"/>
  <c r="I828" i="19"/>
  <c r="I827" i="19"/>
  <c r="I826" i="19"/>
  <c r="I825" i="19"/>
  <c r="I824" i="19"/>
  <c r="I823" i="19"/>
  <c r="I822" i="19"/>
  <c r="I821" i="19"/>
  <c r="I820" i="19"/>
  <c r="I819" i="19"/>
  <c r="I818" i="19"/>
  <c r="I817" i="19"/>
  <c r="I816" i="19"/>
  <c r="I815" i="19"/>
  <c r="I814" i="19"/>
  <c r="I813" i="19"/>
  <c r="I812" i="19"/>
  <c r="I811" i="19"/>
  <c r="I810" i="19"/>
  <c r="I809" i="19"/>
  <c r="I808" i="19"/>
  <c r="I807" i="19"/>
  <c r="I806" i="19"/>
  <c r="I805" i="19"/>
  <c r="I804" i="19"/>
  <c r="I803" i="19"/>
  <c r="I802" i="19"/>
  <c r="I801" i="19"/>
  <c r="I800" i="19"/>
  <c r="I799" i="19"/>
  <c r="I798" i="19"/>
  <c r="I797" i="19"/>
  <c r="I796" i="19"/>
  <c r="I795" i="19"/>
  <c r="I794" i="19"/>
  <c r="I793" i="19"/>
  <c r="I792" i="19"/>
  <c r="I791" i="19"/>
  <c r="I790" i="19"/>
  <c r="I789" i="19"/>
  <c r="I788" i="19"/>
  <c r="I787" i="19"/>
  <c r="I786" i="19"/>
  <c r="I785" i="19"/>
  <c r="I784" i="19"/>
  <c r="I783" i="19"/>
  <c r="I782" i="19"/>
  <c r="I781" i="19"/>
  <c r="I780" i="19"/>
  <c r="I779" i="19"/>
  <c r="I778" i="19"/>
  <c r="I777" i="19"/>
  <c r="I776" i="19"/>
  <c r="I775" i="19"/>
  <c r="I774" i="19"/>
  <c r="I773" i="19"/>
  <c r="I772" i="19"/>
  <c r="I771" i="19"/>
  <c r="I770" i="19"/>
  <c r="I769" i="19"/>
  <c r="I768" i="19"/>
  <c r="I767" i="19"/>
  <c r="I766" i="19"/>
  <c r="I765" i="19"/>
  <c r="I764" i="19"/>
  <c r="I763" i="19"/>
  <c r="I762" i="19"/>
  <c r="I761" i="19"/>
  <c r="I760" i="19"/>
  <c r="I759" i="19"/>
  <c r="I758" i="19"/>
  <c r="I757" i="19"/>
  <c r="I756" i="19"/>
  <c r="I755" i="19"/>
  <c r="I754" i="19"/>
  <c r="I753" i="19"/>
  <c r="I752" i="19"/>
  <c r="I751" i="19"/>
  <c r="I750" i="19"/>
  <c r="I749" i="19"/>
  <c r="I748" i="19"/>
  <c r="I747" i="19"/>
  <c r="I746" i="19"/>
  <c r="I745" i="19"/>
  <c r="I744" i="19"/>
  <c r="I743" i="19"/>
  <c r="I742" i="19"/>
  <c r="I741" i="19"/>
  <c r="I740" i="19"/>
  <c r="I739" i="19"/>
  <c r="I738" i="19"/>
  <c r="I737" i="19"/>
  <c r="I736" i="19"/>
  <c r="I735" i="19"/>
  <c r="I734" i="19"/>
  <c r="I733" i="19"/>
  <c r="I732" i="19"/>
  <c r="I731" i="19"/>
  <c r="I730" i="19"/>
  <c r="I729" i="19"/>
  <c r="I728" i="19"/>
  <c r="I727" i="19"/>
  <c r="I726" i="19"/>
  <c r="I725" i="19"/>
  <c r="I724" i="19"/>
  <c r="I723" i="19"/>
  <c r="I722" i="19"/>
  <c r="I721" i="19"/>
  <c r="I720" i="19"/>
  <c r="I719" i="19"/>
  <c r="I718" i="19"/>
  <c r="I717" i="19"/>
  <c r="I716" i="19"/>
  <c r="I715" i="19"/>
  <c r="I714" i="19"/>
  <c r="I713" i="19"/>
  <c r="I712" i="19"/>
  <c r="I711" i="19"/>
  <c r="I710" i="19"/>
  <c r="I709" i="19"/>
  <c r="I708" i="19"/>
  <c r="I707" i="19"/>
  <c r="I706" i="19"/>
  <c r="I705" i="19"/>
  <c r="I704" i="19"/>
  <c r="I703" i="19"/>
  <c r="I702" i="19"/>
  <c r="I701" i="19"/>
  <c r="I700" i="19"/>
  <c r="I699" i="19"/>
  <c r="I698" i="19"/>
  <c r="I697" i="19"/>
  <c r="I696" i="19"/>
  <c r="I695" i="19"/>
  <c r="I694" i="19"/>
  <c r="I693" i="19"/>
  <c r="I692" i="19"/>
  <c r="I691" i="19"/>
  <c r="I690" i="19"/>
  <c r="I689" i="19"/>
  <c r="I688" i="19"/>
  <c r="I687" i="19"/>
  <c r="I686" i="19"/>
  <c r="I685" i="19"/>
  <c r="I684" i="19"/>
  <c r="I683" i="19"/>
  <c r="I682" i="19"/>
  <c r="I681" i="19"/>
  <c r="I680" i="19"/>
  <c r="I679" i="19"/>
  <c r="I678" i="19"/>
  <c r="I677" i="19"/>
  <c r="I676" i="19"/>
  <c r="I675" i="19"/>
  <c r="I674" i="19"/>
  <c r="I673" i="19"/>
  <c r="I672" i="19"/>
  <c r="I671" i="19"/>
  <c r="I670" i="19"/>
  <c r="I669" i="19"/>
  <c r="I668" i="19"/>
  <c r="I667" i="19"/>
  <c r="I666" i="19"/>
  <c r="I665" i="19"/>
  <c r="I664" i="19"/>
  <c r="I663" i="19"/>
  <c r="I662" i="19"/>
  <c r="I661" i="19"/>
  <c r="I660" i="19"/>
  <c r="I659" i="19"/>
  <c r="I658" i="19"/>
  <c r="I657" i="19"/>
  <c r="I656" i="19"/>
  <c r="I655" i="19"/>
  <c r="I654" i="19"/>
  <c r="I653" i="19"/>
  <c r="I652" i="19"/>
  <c r="I651" i="19"/>
  <c r="I650" i="19"/>
  <c r="I649" i="19"/>
  <c r="I648" i="19"/>
  <c r="I647" i="19"/>
  <c r="I646" i="19"/>
  <c r="I645" i="19"/>
  <c r="I644" i="19"/>
  <c r="I643" i="19"/>
  <c r="I642" i="19"/>
  <c r="I641" i="19"/>
  <c r="I640" i="19"/>
  <c r="I639" i="19"/>
  <c r="I638" i="19"/>
  <c r="I637" i="19"/>
  <c r="I636" i="19"/>
  <c r="I635" i="19"/>
  <c r="I634" i="19"/>
  <c r="I633" i="19"/>
  <c r="I632" i="19"/>
  <c r="I631" i="19"/>
  <c r="I630" i="19"/>
  <c r="I629" i="19"/>
  <c r="I628" i="19"/>
  <c r="I627" i="19"/>
  <c r="I626" i="19"/>
  <c r="I625" i="19"/>
  <c r="I624" i="19"/>
  <c r="I623" i="19"/>
  <c r="I622" i="19"/>
  <c r="I621" i="19"/>
  <c r="I620" i="19"/>
  <c r="I619" i="19"/>
  <c r="I618" i="19"/>
  <c r="I617" i="19"/>
  <c r="I616" i="19"/>
  <c r="I615" i="19"/>
  <c r="I614" i="19"/>
  <c r="I613" i="19"/>
  <c r="I612" i="19"/>
  <c r="I611" i="19"/>
  <c r="I610" i="19"/>
  <c r="I609" i="19"/>
  <c r="I608" i="19"/>
  <c r="I607" i="19"/>
  <c r="I606" i="19"/>
  <c r="I605" i="19"/>
  <c r="I604" i="19"/>
  <c r="I603" i="19"/>
  <c r="I602" i="19"/>
  <c r="I601" i="19"/>
  <c r="I600" i="19"/>
  <c r="I599" i="19"/>
  <c r="I598" i="19"/>
  <c r="I597" i="19"/>
  <c r="I596" i="19"/>
  <c r="I595" i="19"/>
  <c r="I594" i="19"/>
  <c r="I593" i="19"/>
  <c r="I592" i="19"/>
  <c r="I591" i="19"/>
  <c r="I590" i="19"/>
  <c r="I589" i="19"/>
  <c r="I588" i="19"/>
  <c r="I587" i="19"/>
  <c r="I586" i="19"/>
  <c r="I585" i="19"/>
  <c r="I584" i="19"/>
  <c r="I583" i="19"/>
  <c r="I582" i="19"/>
  <c r="I581" i="19"/>
  <c r="I580" i="19"/>
  <c r="I579" i="19"/>
  <c r="I578" i="19"/>
  <c r="I577" i="19"/>
  <c r="I576" i="19"/>
  <c r="I575" i="19"/>
  <c r="I574" i="19"/>
  <c r="I573" i="19"/>
  <c r="I572" i="19"/>
  <c r="I571" i="19"/>
  <c r="I570" i="19"/>
  <c r="I569" i="19"/>
  <c r="I568" i="19"/>
  <c r="I567" i="19"/>
  <c r="I566" i="19"/>
  <c r="I565" i="19"/>
  <c r="I564" i="19"/>
  <c r="I563" i="19"/>
  <c r="I562" i="19"/>
  <c r="I561" i="19"/>
  <c r="I560" i="19"/>
  <c r="I559" i="19"/>
  <c r="I558" i="19"/>
  <c r="I557" i="19"/>
  <c r="I556" i="19"/>
  <c r="I555" i="19"/>
  <c r="I554" i="19"/>
  <c r="I553" i="19"/>
  <c r="I552" i="19"/>
  <c r="I551" i="19"/>
  <c r="I550" i="19"/>
  <c r="I549" i="19"/>
  <c r="I548" i="19"/>
  <c r="I547" i="19"/>
  <c r="I546" i="19"/>
  <c r="I545" i="19"/>
  <c r="I544" i="19"/>
  <c r="I543" i="19"/>
  <c r="I542" i="19"/>
  <c r="I541" i="19"/>
  <c r="I540" i="19"/>
  <c r="I539" i="19"/>
  <c r="I538" i="19"/>
  <c r="I537" i="19"/>
  <c r="I536" i="19"/>
  <c r="I535" i="19"/>
  <c r="I534" i="19"/>
  <c r="I533" i="19"/>
  <c r="I532" i="19"/>
  <c r="I531" i="19"/>
  <c r="I530" i="19"/>
  <c r="I529" i="19"/>
  <c r="I528" i="19"/>
  <c r="I527" i="19"/>
  <c r="I526" i="19"/>
  <c r="I525" i="19"/>
  <c r="I524" i="19"/>
  <c r="I523" i="19"/>
  <c r="I522" i="19"/>
  <c r="I521" i="19"/>
  <c r="I520" i="19"/>
  <c r="I519" i="19"/>
  <c r="I518" i="19"/>
  <c r="I517" i="19"/>
  <c r="I516" i="19"/>
  <c r="I515" i="19"/>
  <c r="I514" i="19"/>
  <c r="I513" i="19"/>
  <c r="I512" i="19"/>
  <c r="I511" i="19"/>
  <c r="I510" i="19"/>
  <c r="I509" i="19"/>
  <c r="I508" i="19"/>
  <c r="I507" i="19"/>
  <c r="I506" i="19"/>
  <c r="I505" i="19"/>
  <c r="I504" i="19"/>
  <c r="I503" i="19"/>
  <c r="I502" i="19"/>
  <c r="I501" i="19"/>
  <c r="I500" i="19"/>
  <c r="I499" i="19"/>
  <c r="I498" i="19"/>
  <c r="I497" i="19"/>
  <c r="I496" i="19"/>
  <c r="I495" i="19"/>
  <c r="I494" i="19"/>
  <c r="I493" i="19"/>
  <c r="I492" i="19"/>
  <c r="I491" i="19"/>
  <c r="I490" i="19"/>
  <c r="I489" i="19"/>
  <c r="I488" i="19"/>
  <c r="I487" i="19"/>
  <c r="I486" i="19"/>
  <c r="I485" i="19"/>
  <c r="I484" i="19"/>
  <c r="I483" i="19"/>
  <c r="I482" i="19"/>
  <c r="I481" i="19"/>
  <c r="I480" i="19"/>
  <c r="I479" i="19"/>
  <c r="I478" i="19"/>
  <c r="I477" i="19"/>
  <c r="I476" i="19"/>
  <c r="I475" i="19"/>
  <c r="I474" i="19"/>
  <c r="I473" i="19"/>
  <c r="I472" i="19"/>
  <c r="I471" i="19"/>
  <c r="I470" i="19"/>
  <c r="I469" i="19"/>
  <c r="I468" i="19"/>
  <c r="I467" i="19"/>
  <c r="I466" i="19"/>
  <c r="I465" i="19"/>
  <c r="I464" i="19"/>
  <c r="I463" i="19"/>
  <c r="I462" i="19"/>
  <c r="I461" i="19"/>
  <c r="I460" i="19"/>
  <c r="I459" i="19"/>
  <c r="I458" i="19"/>
  <c r="I457" i="19"/>
  <c r="I456" i="19"/>
  <c r="I455" i="19"/>
  <c r="I454" i="19"/>
  <c r="I453" i="19"/>
  <c r="I452" i="19"/>
  <c r="I451" i="19"/>
  <c r="I450" i="19"/>
  <c r="I449" i="19"/>
  <c r="I448" i="19"/>
  <c r="I447" i="19"/>
  <c r="I446" i="19"/>
  <c r="I445" i="19"/>
  <c r="I444" i="19"/>
  <c r="I443" i="19"/>
  <c r="I442" i="19"/>
  <c r="I441" i="19"/>
  <c r="I440" i="19"/>
  <c r="I439" i="19"/>
  <c r="I438" i="19"/>
  <c r="I437" i="19"/>
  <c r="I436" i="19"/>
  <c r="I435" i="19"/>
  <c r="I434" i="19"/>
  <c r="I433" i="19"/>
  <c r="I432" i="19"/>
  <c r="I431" i="19"/>
  <c r="I430" i="19"/>
  <c r="I429" i="19"/>
  <c r="I428" i="19"/>
  <c r="I427" i="19"/>
  <c r="I426" i="19"/>
  <c r="I425" i="19"/>
  <c r="I424" i="19"/>
  <c r="I423" i="19"/>
  <c r="I422" i="19"/>
  <c r="I421" i="19"/>
  <c r="I420" i="19"/>
  <c r="I419" i="19"/>
  <c r="I418" i="19"/>
  <c r="I417" i="19"/>
  <c r="I416" i="19"/>
  <c r="I415" i="19"/>
  <c r="I414" i="19"/>
  <c r="I413" i="19"/>
  <c r="I412" i="19"/>
  <c r="I411" i="19"/>
  <c r="I410" i="19"/>
  <c r="I409" i="19"/>
  <c r="I408" i="19"/>
  <c r="I407" i="19"/>
  <c r="I406" i="19"/>
  <c r="I405" i="19"/>
  <c r="I404" i="19"/>
  <c r="I403" i="19"/>
  <c r="I402" i="19"/>
  <c r="I401" i="19"/>
  <c r="I400" i="19"/>
  <c r="I399" i="19"/>
  <c r="I398" i="19"/>
  <c r="I397" i="19"/>
  <c r="I396" i="19"/>
  <c r="I395" i="19"/>
  <c r="I394" i="19"/>
  <c r="I393" i="19"/>
  <c r="I392" i="19"/>
  <c r="I391" i="19"/>
  <c r="I390" i="19"/>
  <c r="I389" i="19"/>
  <c r="I388" i="19"/>
  <c r="I387" i="19"/>
  <c r="I386" i="19"/>
  <c r="I385" i="19"/>
  <c r="I384" i="19"/>
  <c r="I383" i="19"/>
  <c r="I382" i="19"/>
  <c r="I381" i="19"/>
  <c r="I380" i="19"/>
  <c r="I379" i="19"/>
  <c r="I378" i="19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3" i="19"/>
  <c r="I1" i="19"/>
  <c r="K1" i="19" s="1"/>
  <c r="G1" i="19"/>
  <c r="E48" i="18"/>
  <c r="C25" i="18"/>
  <c r="E20" i="18"/>
  <c r="C5" i="18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G13" i="26" s="1"/>
  <c r="K6" i="17"/>
  <c r="G8" i="26" s="1"/>
  <c r="K5" i="17"/>
  <c r="G5" i="26" s="1"/>
  <c r="K4" i="17"/>
  <c r="K3" i="17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J39" i="15"/>
  <c r="I39" i="15"/>
  <c r="F37" i="15"/>
  <c r="D37" i="15"/>
  <c r="H37" i="15" s="1"/>
  <c r="C37" i="15"/>
  <c r="B37" i="15"/>
  <c r="H36" i="15"/>
  <c r="F36" i="15"/>
  <c r="D36" i="15"/>
  <c r="E36" i="15" s="1"/>
  <c r="K36" i="15" s="1"/>
  <c r="C36" i="15"/>
  <c r="B36" i="15"/>
  <c r="H35" i="15"/>
  <c r="F35" i="15"/>
  <c r="D35" i="15"/>
  <c r="C35" i="15"/>
  <c r="B35" i="15"/>
  <c r="H34" i="15"/>
  <c r="F34" i="15"/>
  <c r="E34" i="15"/>
  <c r="K34" i="15" s="1"/>
  <c r="D34" i="15"/>
  <c r="C34" i="15"/>
  <c r="B34" i="15"/>
  <c r="F33" i="15"/>
  <c r="E33" i="15"/>
  <c r="D33" i="15"/>
  <c r="H33" i="15" s="1"/>
  <c r="C33" i="15"/>
  <c r="B33" i="15"/>
  <c r="F32" i="15"/>
  <c r="D32" i="15"/>
  <c r="H32" i="15" s="1"/>
  <c r="C32" i="15"/>
  <c r="B32" i="15"/>
  <c r="H31" i="15"/>
  <c r="F31" i="15"/>
  <c r="E31" i="15"/>
  <c r="K31" i="15" s="1"/>
  <c r="D31" i="15"/>
  <c r="C31" i="15"/>
  <c r="B31" i="15"/>
  <c r="F30" i="15"/>
  <c r="E30" i="15" s="1"/>
  <c r="K30" i="15" s="1"/>
  <c r="D30" i="15"/>
  <c r="H30" i="15" s="1"/>
  <c r="C30" i="15"/>
  <c r="B30" i="15"/>
  <c r="F29" i="15"/>
  <c r="E29" i="15"/>
  <c r="D29" i="15"/>
  <c r="H29" i="15" s="1"/>
  <c r="C29" i="15"/>
  <c r="B29" i="15"/>
  <c r="H28" i="15"/>
  <c r="F28" i="15"/>
  <c r="D28" i="15"/>
  <c r="E28" i="15" s="1"/>
  <c r="K28" i="15" s="1"/>
  <c r="C28" i="15"/>
  <c r="B28" i="15"/>
  <c r="F27" i="15"/>
  <c r="D27" i="15"/>
  <c r="H27" i="15" s="1"/>
  <c r="C27" i="15"/>
  <c r="B27" i="15"/>
  <c r="F26" i="15"/>
  <c r="D26" i="15"/>
  <c r="H26" i="15" s="1"/>
  <c r="C26" i="15"/>
  <c r="B26" i="15"/>
  <c r="L25" i="15"/>
  <c r="K25" i="15"/>
  <c r="H25" i="15"/>
  <c r="F25" i="15"/>
  <c r="E25" i="15"/>
  <c r="D25" i="15"/>
  <c r="C25" i="15"/>
  <c r="B25" i="15"/>
  <c r="F24" i="15"/>
  <c r="E24" i="15"/>
  <c r="D24" i="15"/>
  <c r="H24" i="15" s="1"/>
  <c r="C24" i="15"/>
  <c r="B24" i="15"/>
  <c r="F23" i="15"/>
  <c r="E23" i="15"/>
  <c r="K23" i="15" s="1"/>
  <c r="D23" i="15"/>
  <c r="H23" i="15" s="1"/>
  <c r="C23" i="15"/>
  <c r="B23" i="15"/>
  <c r="H22" i="15"/>
  <c r="F22" i="15"/>
  <c r="D22" i="15"/>
  <c r="E22" i="15" s="1"/>
  <c r="K22" i="15" s="1"/>
  <c r="C22" i="15"/>
  <c r="B22" i="15"/>
  <c r="H21" i="15"/>
  <c r="F21" i="15"/>
  <c r="D21" i="15"/>
  <c r="E21" i="15" s="1"/>
  <c r="K21" i="15" s="1"/>
  <c r="C21" i="15"/>
  <c r="B21" i="15"/>
  <c r="H20" i="15"/>
  <c r="F20" i="15"/>
  <c r="D20" i="15"/>
  <c r="E20" i="15" s="1"/>
  <c r="C20" i="15"/>
  <c r="B20" i="15"/>
  <c r="F19" i="15"/>
  <c r="E19" i="15" s="1"/>
  <c r="D19" i="15"/>
  <c r="H19" i="15" s="1"/>
  <c r="C19" i="15"/>
  <c r="B19" i="15"/>
  <c r="F18" i="15"/>
  <c r="D18" i="15"/>
  <c r="H18" i="15" s="1"/>
  <c r="C18" i="15"/>
  <c r="B18" i="15"/>
  <c r="L17" i="15"/>
  <c r="M17" i="15" s="1"/>
  <c r="K17" i="15"/>
  <c r="H17" i="15"/>
  <c r="F17" i="15"/>
  <c r="E17" i="15"/>
  <c r="D17" i="15"/>
  <c r="C17" i="15"/>
  <c r="B17" i="15"/>
  <c r="H16" i="15"/>
  <c r="F16" i="15"/>
  <c r="E16" i="15" s="1"/>
  <c r="K16" i="15" s="1"/>
  <c r="D16" i="15"/>
  <c r="C16" i="15"/>
  <c r="B16" i="15"/>
  <c r="F15" i="15"/>
  <c r="D15" i="15"/>
  <c r="H15" i="15" s="1"/>
  <c r="C15" i="15"/>
  <c r="B15" i="15"/>
  <c r="H14" i="15"/>
  <c r="F14" i="15"/>
  <c r="D14" i="15"/>
  <c r="E14" i="15" s="1"/>
  <c r="C14" i="15"/>
  <c r="B14" i="15"/>
  <c r="F13" i="15"/>
  <c r="D13" i="15"/>
  <c r="H13" i="15" s="1"/>
  <c r="C13" i="15"/>
  <c r="B13" i="15"/>
  <c r="F12" i="15"/>
  <c r="D12" i="15"/>
  <c r="C12" i="15"/>
  <c r="B12" i="15"/>
  <c r="H11" i="15"/>
  <c r="F11" i="15"/>
  <c r="D11" i="15"/>
  <c r="E11" i="15" s="1"/>
  <c r="K11" i="15" s="1"/>
  <c r="L11" i="15" s="1"/>
  <c r="C11" i="15"/>
  <c r="B11" i="15"/>
  <c r="F10" i="15"/>
  <c r="E10" i="15"/>
  <c r="D10" i="15"/>
  <c r="H10" i="15" s="1"/>
  <c r="C10" i="15"/>
  <c r="B10" i="15"/>
  <c r="H9" i="15"/>
  <c r="F9" i="15"/>
  <c r="E9" i="15"/>
  <c r="K9" i="15" s="1"/>
  <c r="D9" i="15"/>
  <c r="C9" i="15"/>
  <c r="B9" i="15"/>
  <c r="F8" i="15"/>
  <c r="E8" i="15"/>
  <c r="D8" i="15"/>
  <c r="H8" i="15" s="1"/>
  <c r="C8" i="15"/>
  <c r="B8" i="15"/>
  <c r="H7" i="15"/>
  <c r="F7" i="15"/>
  <c r="D7" i="15"/>
  <c r="E7" i="15" s="1"/>
  <c r="C7" i="15"/>
  <c r="B7" i="15"/>
  <c r="F6" i="15"/>
  <c r="D6" i="15"/>
  <c r="E6" i="15" s="1"/>
  <c r="C6" i="15"/>
  <c r="C55" i="15" s="1"/>
  <c r="B6" i="15"/>
  <c r="F5" i="15"/>
  <c r="E5" i="15"/>
  <c r="K5" i="15" s="1"/>
  <c r="D5" i="15"/>
  <c r="H5" i="15" s="1"/>
  <c r="C5" i="15"/>
  <c r="B5" i="15"/>
  <c r="F4" i="15"/>
  <c r="E4" i="15"/>
  <c r="K4" i="15" s="1"/>
  <c r="D4" i="15"/>
  <c r="H4" i="15" s="1"/>
  <c r="C4" i="15"/>
  <c r="B4" i="15"/>
  <c r="H3" i="15"/>
  <c r="F3" i="15"/>
  <c r="D3" i="15"/>
  <c r="E3" i="15" s="1"/>
  <c r="C3" i="15"/>
  <c r="B3" i="15"/>
  <c r="J202" i="14"/>
  <c r="H202" i="14"/>
  <c r="D202" i="14"/>
  <c r="C202" i="14"/>
  <c r="J201" i="14"/>
  <c r="H201" i="14"/>
  <c r="D201" i="14"/>
  <c r="C201" i="14"/>
  <c r="J200" i="14"/>
  <c r="H200" i="14"/>
  <c r="D200" i="14"/>
  <c r="C200" i="14"/>
  <c r="J199" i="14"/>
  <c r="H199" i="14"/>
  <c r="D199" i="14"/>
  <c r="C199" i="14"/>
  <c r="J198" i="14"/>
  <c r="H198" i="14"/>
  <c r="D198" i="14"/>
  <c r="C198" i="14"/>
  <c r="J197" i="14"/>
  <c r="H197" i="14"/>
  <c r="D197" i="14"/>
  <c r="C197" i="14"/>
  <c r="J196" i="14"/>
  <c r="H196" i="14"/>
  <c r="D196" i="14"/>
  <c r="C196" i="14"/>
  <c r="J195" i="14"/>
  <c r="H195" i="14"/>
  <c r="D195" i="14"/>
  <c r="C195" i="14"/>
  <c r="J194" i="14"/>
  <c r="H194" i="14"/>
  <c r="D194" i="14"/>
  <c r="C194" i="14"/>
  <c r="J193" i="14"/>
  <c r="H193" i="14"/>
  <c r="D193" i="14"/>
  <c r="C193" i="14"/>
  <c r="J192" i="14"/>
  <c r="H192" i="14"/>
  <c r="D192" i="14"/>
  <c r="C192" i="14"/>
  <c r="J191" i="14"/>
  <c r="H191" i="14"/>
  <c r="D191" i="14"/>
  <c r="C191" i="14"/>
  <c r="J190" i="14"/>
  <c r="H190" i="14"/>
  <c r="D190" i="14"/>
  <c r="C190" i="14"/>
  <c r="J189" i="14"/>
  <c r="H189" i="14"/>
  <c r="D189" i="14"/>
  <c r="C189" i="14"/>
  <c r="J188" i="14"/>
  <c r="H188" i="14"/>
  <c r="D188" i="14"/>
  <c r="C188" i="14"/>
  <c r="J187" i="14"/>
  <c r="H187" i="14"/>
  <c r="D187" i="14"/>
  <c r="C187" i="14"/>
  <c r="J186" i="14"/>
  <c r="H186" i="14"/>
  <c r="D186" i="14"/>
  <c r="C186" i="14"/>
  <c r="J185" i="14"/>
  <c r="H185" i="14"/>
  <c r="D185" i="14"/>
  <c r="C185" i="14"/>
  <c r="J184" i="14"/>
  <c r="H184" i="14"/>
  <c r="D184" i="14"/>
  <c r="C184" i="14"/>
  <c r="J183" i="14"/>
  <c r="H183" i="14"/>
  <c r="D183" i="14"/>
  <c r="C183" i="14"/>
  <c r="J182" i="14"/>
  <c r="H182" i="14"/>
  <c r="D182" i="14"/>
  <c r="C182" i="14"/>
  <c r="J181" i="14"/>
  <c r="H181" i="14"/>
  <c r="D181" i="14"/>
  <c r="C181" i="14"/>
  <c r="J180" i="14"/>
  <c r="H180" i="14"/>
  <c r="D180" i="14"/>
  <c r="C180" i="14"/>
  <c r="J179" i="14"/>
  <c r="H179" i="14"/>
  <c r="D179" i="14"/>
  <c r="C179" i="14"/>
  <c r="J178" i="14"/>
  <c r="H178" i="14"/>
  <c r="D178" i="14"/>
  <c r="C178" i="14"/>
  <c r="J177" i="14"/>
  <c r="H177" i="14"/>
  <c r="D177" i="14"/>
  <c r="C177" i="14"/>
  <c r="J176" i="14"/>
  <c r="H176" i="14"/>
  <c r="D176" i="14"/>
  <c r="C176" i="14"/>
  <c r="J175" i="14"/>
  <c r="H175" i="14"/>
  <c r="D175" i="14"/>
  <c r="C175" i="14"/>
  <c r="J174" i="14"/>
  <c r="H174" i="14"/>
  <c r="D174" i="14"/>
  <c r="C174" i="14"/>
  <c r="J173" i="14"/>
  <c r="H173" i="14"/>
  <c r="D173" i="14"/>
  <c r="C173" i="14"/>
  <c r="J172" i="14"/>
  <c r="H172" i="14"/>
  <c r="D172" i="14"/>
  <c r="C172" i="14"/>
  <c r="J171" i="14"/>
  <c r="H171" i="14"/>
  <c r="D171" i="14"/>
  <c r="C171" i="14"/>
  <c r="J170" i="14"/>
  <c r="H170" i="14"/>
  <c r="D170" i="14"/>
  <c r="C170" i="14"/>
  <c r="J169" i="14"/>
  <c r="H169" i="14"/>
  <c r="D169" i="14"/>
  <c r="C169" i="14"/>
  <c r="J168" i="14"/>
  <c r="H168" i="14"/>
  <c r="D168" i="14"/>
  <c r="C168" i="14"/>
  <c r="J167" i="14"/>
  <c r="H167" i="14"/>
  <c r="D167" i="14"/>
  <c r="C167" i="14"/>
  <c r="J166" i="14"/>
  <c r="H166" i="14"/>
  <c r="D166" i="14"/>
  <c r="C166" i="14"/>
  <c r="J165" i="14"/>
  <c r="H165" i="14"/>
  <c r="D165" i="14"/>
  <c r="C165" i="14"/>
  <c r="J164" i="14"/>
  <c r="H164" i="14"/>
  <c r="D164" i="14"/>
  <c r="C164" i="14"/>
  <c r="J163" i="14"/>
  <c r="H163" i="14"/>
  <c r="D163" i="14"/>
  <c r="C163" i="14"/>
  <c r="J162" i="14"/>
  <c r="H162" i="14"/>
  <c r="D162" i="14"/>
  <c r="C162" i="14"/>
  <c r="J161" i="14"/>
  <c r="H161" i="14"/>
  <c r="D161" i="14"/>
  <c r="C161" i="14"/>
  <c r="J160" i="14"/>
  <c r="H160" i="14"/>
  <c r="D160" i="14"/>
  <c r="C160" i="14"/>
  <c r="J159" i="14"/>
  <c r="H159" i="14"/>
  <c r="D159" i="14"/>
  <c r="C159" i="14"/>
  <c r="J158" i="14"/>
  <c r="H158" i="14"/>
  <c r="D158" i="14"/>
  <c r="C158" i="14"/>
  <c r="J157" i="14"/>
  <c r="H157" i="14"/>
  <c r="D157" i="14"/>
  <c r="C157" i="14"/>
  <c r="J156" i="14"/>
  <c r="H156" i="14"/>
  <c r="D156" i="14"/>
  <c r="C156" i="14"/>
  <c r="J155" i="14"/>
  <c r="H155" i="14"/>
  <c r="D155" i="14"/>
  <c r="C155" i="14"/>
  <c r="J154" i="14"/>
  <c r="H154" i="14"/>
  <c r="D154" i="14"/>
  <c r="C154" i="14"/>
  <c r="J153" i="14"/>
  <c r="H153" i="14"/>
  <c r="D153" i="14"/>
  <c r="C153" i="14"/>
  <c r="J152" i="14"/>
  <c r="H152" i="14"/>
  <c r="D152" i="14"/>
  <c r="C152" i="14"/>
  <c r="J151" i="14"/>
  <c r="H151" i="14"/>
  <c r="D151" i="14"/>
  <c r="C151" i="14"/>
  <c r="J150" i="14"/>
  <c r="H150" i="14"/>
  <c r="D150" i="14"/>
  <c r="C150" i="14"/>
  <c r="J149" i="14"/>
  <c r="H149" i="14"/>
  <c r="D149" i="14"/>
  <c r="C149" i="14"/>
  <c r="J148" i="14"/>
  <c r="H148" i="14"/>
  <c r="D148" i="14"/>
  <c r="C148" i="14"/>
  <c r="J147" i="14"/>
  <c r="H147" i="14"/>
  <c r="D147" i="14"/>
  <c r="C147" i="14"/>
  <c r="J146" i="14"/>
  <c r="H146" i="14"/>
  <c r="D146" i="14"/>
  <c r="C146" i="14"/>
  <c r="J145" i="14"/>
  <c r="H145" i="14"/>
  <c r="D145" i="14"/>
  <c r="C145" i="14"/>
  <c r="J144" i="14"/>
  <c r="H144" i="14"/>
  <c r="D144" i="14"/>
  <c r="C144" i="14"/>
  <c r="J143" i="14"/>
  <c r="H143" i="14"/>
  <c r="D143" i="14"/>
  <c r="C143" i="14"/>
  <c r="J142" i="14"/>
  <c r="H142" i="14"/>
  <c r="D142" i="14"/>
  <c r="C142" i="14"/>
  <c r="J141" i="14"/>
  <c r="H141" i="14"/>
  <c r="D141" i="14"/>
  <c r="C141" i="14"/>
  <c r="J140" i="14"/>
  <c r="H140" i="14"/>
  <c r="D140" i="14"/>
  <c r="C140" i="14"/>
  <c r="J139" i="14"/>
  <c r="H139" i="14"/>
  <c r="D139" i="14"/>
  <c r="C139" i="14"/>
  <c r="J138" i="14"/>
  <c r="H138" i="14"/>
  <c r="D138" i="14"/>
  <c r="C138" i="14"/>
  <c r="J137" i="14"/>
  <c r="H137" i="14"/>
  <c r="D137" i="14"/>
  <c r="C137" i="14"/>
  <c r="J136" i="14"/>
  <c r="H136" i="14"/>
  <c r="D136" i="14"/>
  <c r="C136" i="14"/>
  <c r="J135" i="14"/>
  <c r="H135" i="14"/>
  <c r="D135" i="14"/>
  <c r="C135" i="14"/>
  <c r="J134" i="14"/>
  <c r="H134" i="14"/>
  <c r="D134" i="14"/>
  <c r="C134" i="14"/>
  <c r="J133" i="14"/>
  <c r="H133" i="14"/>
  <c r="D133" i="14"/>
  <c r="C133" i="14"/>
  <c r="J132" i="14"/>
  <c r="H132" i="14"/>
  <c r="D132" i="14"/>
  <c r="C132" i="14"/>
  <c r="J131" i="14"/>
  <c r="H131" i="14"/>
  <c r="D131" i="14"/>
  <c r="C131" i="14"/>
  <c r="J130" i="14"/>
  <c r="H130" i="14"/>
  <c r="D130" i="14"/>
  <c r="C130" i="14"/>
  <c r="J129" i="14"/>
  <c r="H129" i="14"/>
  <c r="D129" i="14"/>
  <c r="C129" i="14"/>
  <c r="J128" i="14"/>
  <c r="H128" i="14"/>
  <c r="D128" i="14"/>
  <c r="C128" i="14"/>
  <c r="J127" i="14"/>
  <c r="H127" i="14"/>
  <c r="D127" i="14"/>
  <c r="C127" i="14"/>
  <c r="J126" i="14"/>
  <c r="H126" i="14"/>
  <c r="D126" i="14"/>
  <c r="C126" i="14"/>
  <c r="J125" i="14"/>
  <c r="H125" i="14"/>
  <c r="D125" i="14"/>
  <c r="C125" i="14"/>
  <c r="J124" i="14"/>
  <c r="H124" i="14"/>
  <c r="D124" i="14"/>
  <c r="C124" i="14"/>
  <c r="J123" i="14"/>
  <c r="H123" i="14"/>
  <c r="D123" i="14"/>
  <c r="C123" i="14"/>
  <c r="J122" i="14"/>
  <c r="H122" i="14"/>
  <c r="D122" i="14"/>
  <c r="C122" i="14"/>
  <c r="J121" i="14"/>
  <c r="H121" i="14"/>
  <c r="D121" i="14"/>
  <c r="C121" i="14"/>
  <c r="J120" i="14"/>
  <c r="H120" i="14"/>
  <c r="D120" i="14"/>
  <c r="C120" i="14"/>
  <c r="J119" i="14"/>
  <c r="H119" i="14"/>
  <c r="D119" i="14"/>
  <c r="C119" i="14"/>
  <c r="J118" i="14"/>
  <c r="H118" i="14"/>
  <c r="D118" i="14"/>
  <c r="C118" i="14"/>
  <c r="J117" i="14"/>
  <c r="H117" i="14"/>
  <c r="D117" i="14"/>
  <c r="C117" i="14"/>
  <c r="J116" i="14"/>
  <c r="H116" i="14"/>
  <c r="D116" i="14"/>
  <c r="C116" i="14"/>
  <c r="J115" i="14"/>
  <c r="H115" i="14"/>
  <c r="D115" i="14"/>
  <c r="C115" i="14"/>
  <c r="J114" i="14"/>
  <c r="H114" i="14"/>
  <c r="D114" i="14"/>
  <c r="C114" i="14"/>
  <c r="J113" i="14"/>
  <c r="H113" i="14"/>
  <c r="D113" i="14"/>
  <c r="C113" i="14"/>
  <c r="J112" i="14"/>
  <c r="H112" i="14"/>
  <c r="D112" i="14"/>
  <c r="C112" i="14"/>
  <c r="J111" i="14"/>
  <c r="H111" i="14"/>
  <c r="D111" i="14"/>
  <c r="C111" i="14"/>
  <c r="J110" i="14"/>
  <c r="H110" i="14"/>
  <c r="D110" i="14"/>
  <c r="C110" i="14"/>
  <c r="J109" i="14"/>
  <c r="H109" i="14"/>
  <c r="D109" i="14"/>
  <c r="C109" i="14"/>
  <c r="J108" i="14"/>
  <c r="H108" i="14"/>
  <c r="D108" i="14"/>
  <c r="C108" i="14"/>
  <c r="J107" i="14"/>
  <c r="H107" i="14"/>
  <c r="D107" i="14"/>
  <c r="C107" i="14"/>
  <c r="J106" i="14"/>
  <c r="H106" i="14"/>
  <c r="D106" i="14"/>
  <c r="C106" i="14"/>
  <c r="J105" i="14"/>
  <c r="H105" i="14"/>
  <c r="D105" i="14"/>
  <c r="C105" i="14"/>
  <c r="J104" i="14"/>
  <c r="H104" i="14"/>
  <c r="D104" i="14"/>
  <c r="C104" i="14"/>
  <c r="J103" i="14"/>
  <c r="H103" i="14"/>
  <c r="D103" i="14"/>
  <c r="C103" i="14"/>
  <c r="J102" i="14"/>
  <c r="H102" i="14"/>
  <c r="D102" i="14"/>
  <c r="C102" i="14"/>
  <c r="J101" i="14"/>
  <c r="H101" i="14"/>
  <c r="D101" i="14"/>
  <c r="C101" i="14"/>
  <c r="J100" i="14"/>
  <c r="H100" i="14"/>
  <c r="D100" i="14"/>
  <c r="C100" i="14"/>
  <c r="J99" i="14"/>
  <c r="H99" i="14"/>
  <c r="D99" i="14"/>
  <c r="C99" i="14"/>
  <c r="J98" i="14"/>
  <c r="H98" i="14"/>
  <c r="D98" i="14"/>
  <c r="C98" i="14"/>
  <c r="J97" i="14"/>
  <c r="H97" i="14"/>
  <c r="D97" i="14"/>
  <c r="C97" i="14"/>
  <c r="J96" i="14"/>
  <c r="H96" i="14"/>
  <c r="D96" i="14"/>
  <c r="C96" i="14"/>
  <c r="J95" i="14"/>
  <c r="H95" i="14"/>
  <c r="D95" i="14"/>
  <c r="C95" i="14"/>
  <c r="J94" i="14"/>
  <c r="H94" i="14"/>
  <c r="D94" i="14"/>
  <c r="C94" i="14"/>
  <c r="J93" i="14"/>
  <c r="H93" i="14"/>
  <c r="D93" i="14"/>
  <c r="C93" i="14"/>
  <c r="J92" i="14"/>
  <c r="H92" i="14"/>
  <c r="D92" i="14"/>
  <c r="C92" i="14"/>
  <c r="J91" i="14"/>
  <c r="H91" i="14"/>
  <c r="D91" i="14"/>
  <c r="C91" i="14"/>
  <c r="J90" i="14"/>
  <c r="H90" i="14"/>
  <c r="D90" i="14"/>
  <c r="C90" i="14"/>
  <c r="J89" i="14"/>
  <c r="H89" i="14"/>
  <c r="D89" i="14"/>
  <c r="C89" i="14"/>
  <c r="J88" i="14"/>
  <c r="H88" i="14"/>
  <c r="D88" i="14"/>
  <c r="C88" i="14"/>
  <c r="J87" i="14"/>
  <c r="H87" i="14"/>
  <c r="D87" i="14"/>
  <c r="C87" i="14"/>
  <c r="J86" i="14"/>
  <c r="H86" i="14"/>
  <c r="D86" i="14"/>
  <c r="C86" i="14"/>
  <c r="J85" i="14"/>
  <c r="H85" i="14"/>
  <c r="D85" i="14"/>
  <c r="C85" i="14"/>
  <c r="J84" i="14"/>
  <c r="H84" i="14"/>
  <c r="D84" i="14"/>
  <c r="C84" i="14"/>
  <c r="J83" i="14"/>
  <c r="H83" i="14"/>
  <c r="D83" i="14"/>
  <c r="C83" i="14"/>
  <c r="J82" i="14"/>
  <c r="H82" i="14"/>
  <c r="D82" i="14"/>
  <c r="C82" i="14"/>
  <c r="J81" i="14"/>
  <c r="H81" i="14"/>
  <c r="D81" i="14"/>
  <c r="C81" i="14"/>
  <c r="J80" i="14"/>
  <c r="H80" i="14"/>
  <c r="D80" i="14"/>
  <c r="C80" i="14"/>
  <c r="J79" i="14"/>
  <c r="H79" i="14"/>
  <c r="D79" i="14"/>
  <c r="C79" i="14"/>
  <c r="J78" i="14"/>
  <c r="H78" i="14"/>
  <c r="D78" i="14"/>
  <c r="C78" i="14"/>
  <c r="J77" i="14"/>
  <c r="H77" i="14"/>
  <c r="D77" i="14"/>
  <c r="C77" i="14"/>
  <c r="J76" i="14"/>
  <c r="H76" i="14"/>
  <c r="D76" i="14"/>
  <c r="C76" i="14"/>
  <c r="J75" i="14"/>
  <c r="H75" i="14"/>
  <c r="D75" i="14"/>
  <c r="C75" i="14"/>
  <c r="J74" i="14"/>
  <c r="H74" i="14"/>
  <c r="D74" i="14"/>
  <c r="C74" i="14"/>
  <c r="J73" i="14"/>
  <c r="H73" i="14"/>
  <c r="D73" i="14"/>
  <c r="C73" i="14"/>
  <c r="J72" i="14"/>
  <c r="H72" i="14"/>
  <c r="D72" i="14"/>
  <c r="C72" i="14"/>
  <c r="J71" i="14"/>
  <c r="H71" i="14"/>
  <c r="D71" i="14"/>
  <c r="C71" i="14"/>
  <c r="J70" i="14"/>
  <c r="H70" i="14"/>
  <c r="D70" i="14"/>
  <c r="C70" i="14"/>
  <c r="J69" i="14"/>
  <c r="H69" i="14"/>
  <c r="D69" i="14"/>
  <c r="C69" i="14"/>
  <c r="J68" i="14"/>
  <c r="H68" i="14"/>
  <c r="D68" i="14"/>
  <c r="C68" i="14"/>
  <c r="J67" i="14"/>
  <c r="H67" i="14"/>
  <c r="D67" i="14"/>
  <c r="C67" i="14"/>
  <c r="J66" i="14"/>
  <c r="H66" i="14"/>
  <c r="D66" i="14"/>
  <c r="C66" i="14"/>
  <c r="J65" i="14"/>
  <c r="H65" i="14"/>
  <c r="D65" i="14"/>
  <c r="C65" i="14"/>
  <c r="J64" i="14"/>
  <c r="H64" i="14"/>
  <c r="D64" i="14"/>
  <c r="C64" i="14"/>
  <c r="J63" i="14"/>
  <c r="H63" i="14"/>
  <c r="D63" i="14"/>
  <c r="C63" i="14"/>
  <c r="J62" i="14"/>
  <c r="H62" i="14"/>
  <c r="D62" i="14"/>
  <c r="C62" i="14"/>
  <c r="J61" i="14"/>
  <c r="H61" i="14"/>
  <c r="D61" i="14"/>
  <c r="C61" i="14"/>
  <c r="J60" i="14"/>
  <c r="H60" i="14"/>
  <c r="D60" i="14"/>
  <c r="C60" i="14"/>
  <c r="J59" i="14"/>
  <c r="H59" i="14"/>
  <c r="D59" i="14"/>
  <c r="C59" i="14"/>
  <c r="J58" i="14"/>
  <c r="H58" i="14"/>
  <c r="D58" i="14"/>
  <c r="C58" i="14"/>
  <c r="J57" i="14"/>
  <c r="H57" i="14"/>
  <c r="D57" i="14"/>
  <c r="C57" i="14"/>
  <c r="J56" i="14"/>
  <c r="H56" i="14"/>
  <c r="D56" i="14"/>
  <c r="C56" i="14"/>
  <c r="J55" i="14"/>
  <c r="H55" i="14"/>
  <c r="D55" i="14"/>
  <c r="C55" i="14"/>
  <c r="J54" i="14"/>
  <c r="H54" i="14"/>
  <c r="D54" i="14"/>
  <c r="C54" i="14"/>
  <c r="J53" i="14"/>
  <c r="H53" i="14"/>
  <c r="D53" i="14"/>
  <c r="C53" i="14"/>
  <c r="J52" i="14"/>
  <c r="H52" i="14"/>
  <c r="D52" i="14"/>
  <c r="C52" i="14"/>
  <c r="J51" i="14"/>
  <c r="H51" i="14"/>
  <c r="D51" i="14"/>
  <c r="C51" i="14"/>
  <c r="J50" i="14"/>
  <c r="H50" i="14"/>
  <c r="D50" i="14"/>
  <c r="C50" i="14"/>
  <c r="J49" i="14"/>
  <c r="H49" i="14"/>
  <c r="D49" i="14"/>
  <c r="C49" i="14"/>
  <c r="J48" i="14"/>
  <c r="H48" i="14"/>
  <c r="D48" i="14"/>
  <c r="C48" i="14"/>
  <c r="J47" i="14"/>
  <c r="H47" i="14"/>
  <c r="D47" i="14"/>
  <c r="C47" i="14"/>
  <c r="J46" i="14"/>
  <c r="H46" i="14"/>
  <c r="D46" i="14"/>
  <c r="C46" i="14"/>
  <c r="J45" i="14"/>
  <c r="H45" i="14"/>
  <c r="D45" i="14"/>
  <c r="C45" i="14"/>
  <c r="J44" i="14"/>
  <c r="H44" i="14"/>
  <c r="D44" i="14"/>
  <c r="C44" i="14"/>
  <c r="J43" i="14"/>
  <c r="H43" i="14"/>
  <c r="D43" i="14"/>
  <c r="C43" i="14"/>
  <c r="J42" i="14"/>
  <c r="H42" i="14"/>
  <c r="D42" i="14"/>
  <c r="C42" i="14"/>
  <c r="J41" i="14"/>
  <c r="H41" i="14"/>
  <c r="D41" i="14"/>
  <c r="C41" i="14"/>
  <c r="J40" i="14"/>
  <c r="H40" i="14"/>
  <c r="D40" i="14"/>
  <c r="C40" i="14"/>
  <c r="J39" i="14"/>
  <c r="H39" i="14"/>
  <c r="D39" i="14"/>
  <c r="C39" i="14"/>
  <c r="J38" i="14"/>
  <c r="H38" i="14"/>
  <c r="D38" i="14"/>
  <c r="C38" i="14"/>
  <c r="J37" i="14"/>
  <c r="H37" i="14"/>
  <c r="D37" i="14"/>
  <c r="C37" i="14"/>
  <c r="J36" i="14"/>
  <c r="H36" i="14"/>
  <c r="D36" i="14"/>
  <c r="C36" i="14"/>
  <c r="J35" i="14"/>
  <c r="H35" i="14"/>
  <c r="D35" i="14"/>
  <c r="C35" i="14"/>
  <c r="J34" i="14"/>
  <c r="H34" i="14"/>
  <c r="D34" i="14"/>
  <c r="C34" i="14"/>
  <c r="J33" i="14"/>
  <c r="H33" i="14"/>
  <c r="D33" i="14"/>
  <c r="C33" i="14"/>
  <c r="J32" i="14"/>
  <c r="H32" i="14"/>
  <c r="D32" i="14"/>
  <c r="C32" i="14"/>
  <c r="J31" i="14"/>
  <c r="H31" i="14"/>
  <c r="D31" i="14"/>
  <c r="C31" i="14"/>
  <c r="J30" i="14"/>
  <c r="H30" i="14"/>
  <c r="D30" i="14"/>
  <c r="C30" i="14"/>
  <c r="J29" i="14"/>
  <c r="H29" i="14"/>
  <c r="D29" i="14"/>
  <c r="C29" i="14"/>
  <c r="J28" i="14"/>
  <c r="H28" i="14"/>
  <c r="D28" i="14"/>
  <c r="C28" i="14"/>
  <c r="J27" i="14"/>
  <c r="H27" i="14"/>
  <c r="D27" i="14"/>
  <c r="C27" i="14"/>
  <c r="J26" i="14"/>
  <c r="H26" i="14"/>
  <c r="D26" i="14"/>
  <c r="C26" i="14"/>
  <c r="J25" i="14"/>
  <c r="H25" i="14"/>
  <c r="D25" i="14"/>
  <c r="C25" i="14"/>
  <c r="J24" i="14"/>
  <c r="H24" i="14"/>
  <c r="D24" i="14"/>
  <c r="C24" i="14"/>
  <c r="J23" i="14"/>
  <c r="H23" i="14"/>
  <c r="D23" i="14"/>
  <c r="C23" i="14"/>
  <c r="J22" i="14"/>
  <c r="H22" i="14"/>
  <c r="D22" i="14"/>
  <c r="C22" i="14"/>
  <c r="J21" i="14"/>
  <c r="H21" i="14"/>
  <c r="D21" i="14"/>
  <c r="C21" i="14"/>
  <c r="J20" i="14"/>
  <c r="H20" i="14"/>
  <c r="D20" i="14"/>
  <c r="C20" i="14"/>
  <c r="J19" i="14"/>
  <c r="H19" i="14"/>
  <c r="D19" i="14"/>
  <c r="C19" i="14"/>
  <c r="J18" i="14"/>
  <c r="H18" i="14"/>
  <c r="D18" i="14"/>
  <c r="C18" i="14"/>
  <c r="J17" i="14"/>
  <c r="H17" i="14"/>
  <c r="D17" i="14"/>
  <c r="C17" i="14"/>
  <c r="J16" i="14"/>
  <c r="H16" i="14"/>
  <c r="D16" i="14"/>
  <c r="C16" i="14"/>
  <c r="J15" i="14"/>
  <c r="H15" i="14"/>
  <c r="D15" i="14"/>
  <c r="C15" i="14"/>
  <c r="J14" i="14"/>
  <c r="H14" i="14"/>
  <c r="D14" i="14"/>
  <c r="C14" i="14"/>
  <c r="J13" i="14"/>
  <c r="H13" i="14"/>
  <c r="D13" i="14"/>
  <c r="C13" i="14"/>
  <c r="J12" i="14"/>
  <c r="H12" i="14"/>
  <c r="D12" i="14"/>
  <c r="C12" i="14"/>
  <c r="J11" i="14"/>
  <c r="H11" i="14"/>
  <c r="D11" i="14"/>
  <c r="C11" i="14"/>
  <c r="J10" i="14"/>
  <c r="H10" i="14"/>
  <c r="D10" i="14"/>
  <c r="C10" i="14"/>
  <c r="J9" i="14"/>
  <c r="H9" i="14"/>
  <c r="D9" i="14"/>
  <c r="C9" i="14"/>
  <c r="J8" i="14"/>
  <c r="H8" i="14"/>
  <c r="D8" i="14"/>
  <c r="C8" i="14"/>
  <c r="J7" i="14"/>
  <c r="H7" i="14"/>
  <c r="D7" i="14"/>
  <c r="C7" i="14"/>
  <c r="J6" i="14"/>
  <c r="H6" i="14"/>
  <c r="D6" i="14"/>
  <c r="C6" i="14"/>
  <c r="H5" i="14"/>
  <c r="J5" i="14" s="1"/>
  <c r="D5" i="14"/>
  <c r="C5" i="14"/>
  <c r="H4" i="14"/>
  <c r="J4" i="14" s="1"/>
  <c r="D4" i="14"/>
  <c r="C4" i="14"/>
  <c r="H3" i="14"/>
  <c r="J3" i="14" s="1"/>
  <c r="D3" i="14"/>
  <c r="C3" i="14"/>
  <c r="B14" i="12"/>
  <c r="D14" i="12" s="1"/>
  <c r="B13" i="12"/>
  <c r="D13" i="12" s="1"/>
  <c r="D12" i="12"/>
  <c r="B12" i="12"/>
  <c r="D11" i="12"/>
  <c r="B11" i="12"/>
  <c r="B10" i="12"/>
  <c r="D10" i="12" s="1"/>
  <c r="B9" i="12"/>
  <c r="D9" i="12" s="1"/>
  <c r="D8" i="12"/>
  <c r="B8" i="12"/>
  <c r="D7" i="12"/>
  <c r="B7" i="12"/>
  <c r="B6" i="12"/>
  <c r="D6" i="12" s="1"/>
  <c r="B5" i="12"/>
  <c r="D5" i="12" s="1"/>
  <c r="K502" i="11"/>
  <c r="J502" i="11"/>
  <c r="I502" i="11"/>
  <c r="L502" i="11" s="1"/>
  <c r="L501" i="11"/>
  <c r="K501" i="11"/>
  <c r="J501" i="11"/>
  <c r="I501" i="11"/>
  <c r="K500" i="11"/>
  <c r="L500" i="11" s="1"/>
  <c r="J500" i="11"/>
  <c r="I500" i="11"/>
  <c r="K499" i="11"/>
  <c r="J499" i="11"/>
  <c r="I499" i="11"/>
  <c r="L499" i="11" s="1"/>
  <c r="K498" i="11"/>
  <c r="L498" i="11" s="1"/>
  <c r="J498" i="11"/>
  <c r="I498" i="11"/>
  <c r="K497" i="11"/>
  <c r="J497" i="11"/>
  <c r="I497" i="11"/>
  <c r="L497" i="11" s="1"/>
  <c r="K496" i="11"/>
  <c r="J496" i="11"/>
  <c r="I496" i="11"/>
  <c r="L496" i="11" s="1"/>
  <c r="L495" i="11"/>
  <c r="K495" i="11"/>
  <c r="J495" i="11"/>
  <c r="I495" i="11"/>
  <c r="K494" i="11"/>
  <c r="J494" i="11"/>
  <c r="I494" i="11"/>
  <c r="L493" i="11"/>
  <c r="K493" i="11"/>
  <c r="J493" i="11"/>
  <c r="I493" i="11"/>
  <c r="K492" i="11"/>
  <c r="J492" i="11"/>
  <c r="I492" i="11"/>
  <c r="L492" i="11" s="1"/>
  <c r="L491" i="11"/>
  <c r="K491" i="11"/>
  <c r="J491" i="11"/>
  <c r="I491" i="11"/>
  <c r="K490" i="11"/>
  <c r="J490" i="11"/>
  <c r="I490" i="11"/>
  <c r="L490" i="11" s="1"/>
  <c r="K489" i="11"/>
  <c r="L489" i="11" s="1"/>
  <c r="J489" i="11"/>
  <c r="I489" i="11"/>
  <c r="K488" i="11"/>
  <c r="J488" i="11"/>
  <c r="I488" i="11"/>
  <c r="L488" i="11" s="1"/>
  <c r="K487" i="11"/>
  <c r="J487" i="11"/>
  <c r="I487" i="11"/>
  <c r="L487" i="11" s="1"/>
  <c r="K486" i="11"/>
  <c r="J486" i="11"/>
  <c r="I486" i="11"/>
  <c r="L486" i="11" s="1"/>
  <c r="K485" i="11"/>
  <c r="L485" i="11" s="1"/>
  <c r="J485" i="11"/>
  <c r="I485" i="11"/>
  <c r="K484" i="11"/>
  <c r="J484" i="11"/>
  <c r="I484" i="11"/>
  <c r="L484" i="11" s="1"/>
  <c r="K483" i="11"/>
  <c r="L483" i="11" s="1"/>
  <c r="J483" i="11"/>
  <c r="I483" i="11"/>
  <c r="K482" i="11"/>
  <c r="J482" i="11"/>
  <c r="I482" i="11"/>
  <c r="L482" i="11" s="1"/>
  <c r="K481" i="11"/>
  <c r="L481" i="11" s="1"/>
  <c r="J481" i="11"/>
  <c r="I481" i="11"/>
  <c r="L480" i="11"/>
  <c r="K480" i="11"/>
  <c r="J480" i="11"/>
  <c r="I480" i="11"/>
  <c r="K479" i="11"/>
  <c r="L479" i="11" s="1"/>
  <c r="J479" i="11"/>
  <c r="I479" i="11"/>
  <c r="K478" i="11"/>
  <c r="J478" i="11"/>
  <c r="I478" i="11"/>
  <c r="L478" i="11" s="1"/>
  <c r="K477" i="11"/>
  <c r="J477" i="11"/>
  <c r="I477" i="11"/>
  <c r="L477" i="11" s="1"/>
  <c r="L476" i="11"/>
  <c r="K476" i="11"/>
  <c r="J476" i="11"/>
  <c r="I476" i="11"/>
  <c r="K475" i="11"/>
  <c r="J475" i="11"/>
  <c r="I475" i="11"/>
  <c r="L475" i="11" s="1"/>
  <c r="K474" i="11"/>
  <c r="J474" i="11"/>
  <c r="I474" i="11"/>
  <c r="K473" i="11"/>
  <c r="J473" i="11"/>
  <c r="I473" i="11"/>
  <c r="L473" i="11" s="1"/>
  <c r="K472" i="11"/>
  <c r="J472" i="11"/>
  <c r="I472" i="11"/>
  <c r="K471" i="11"/>
  <c r="J471" i="11"/>
  <c r="I471" i="11"/>
  <c r="L471" i="11" s="1"/>
  <c r="L470" i="11"/>
  <c r="K470" i="11"/>
  <c r="J470" i="11"/>
  <c r="I470" i="11"/>
  <c r="K469" i="11"/>
  <c r="J469" i="11"/>
  <c r="I469" i="11"/>
  <c r="L469" i="11" s="1"/>
  <c r="K468" i="11"/>
  <c r="J468" i="11"/>
  <c r="I468" i="11"/>
  <c r="L468" i="11" s="1"/>
  <c r="K467" i="11"/>
  <c r="L467" i="11" s="1"/>
  <c r="J467" i="11"/>
  <c r="I467" i="11"/>
  <c r="K466" i="11"/>
  <c r="J466" i="11"/>
  <c r="I466" i="11"/>
  <c r="L466" i="11" s="1"/>
  <c r="K465" i="11"/>
  <c r="J465" i="11"/>
  <c r="I465" i="11"/>
  <c r="L465" i="11" s="1"/>
  <c r="K464" i="11"/>
  <c r="J464" i="11"/>
  <c r="I464" i="11"/>
  <c r="L464" i="11" s="1"/>
  <c r="L463" i="11"/>
  <c r="K463" i="11"/>
  <c r="J463" i="11"/>
  <c r="I463" i="11"/>
  <c r="K462" i="11"/>
  <c r="J462" i="11"/>
  <c r="I462" i="11"/>
  <c r="L462" i="11" s="1"/>
  <c r="K461" i="11"/>
  <c r="J461" i="11"/>
  <c r="I461" i="11"/>
  <c r="L461" i="11" s="1"/>
  <c r="K460" i="11"/>
  <c r="J460" i="11"/>
  <c r="I460" i="11"/>
  <c r="L460" i="11" s="1"/>
  <c r="L459" i="11"/>
  <c r="K459" i="11"/>
  <c r="J459" i="11"/>
  <c r="I459" i="11"/>
  <c r="K458" i="11"/>
  <c r="J458" i="11"/>
  <c r="I458" i="11"/>
  <c r="L458" i="11" s="1"/>
  <c r="K457" i="11"/>
  <c r="L457" i="11" s="1"/>
  <c r="J457" i="11"/>
  <c r="I457" i="11"/>
  <c r="K456" i="11"/>
  <c r="L456" i="11" s="1"/>
  <c r="J456" i="11"/>
  <c r="I456" i="11"/>
  <c r="K455" i="11"/>
  <c r="J455" i="11"/>
  <c r="I455" i="11"/>
  <c r="L455" i="11" s="1"/>
  <c r="K454" i="11"/>
  <c r="J454" i="11"/>
  <c r="I454" i="11"/>
  <c r="K453" i="11"/>
  <c r="L453" i="11" s="1"/>
  <c r="J453" i="11"/>
  <c r="I453" i="11"/>
  <c r="K452" i="11"/>
  <c r="J452" i="11"/>
  <c r="I452" i="11"/>
  <c r="L452" i="11" s="1"/>
  <c r="K451" i="11"/>
  <c r="L451" i="11" s="1"/>
  <c r="J451" i="11"/>
  <c r="I451" i="11"/>
  <c r="L450" i="11"/>
  <c r="K450" i="11"/>
  <c r="J450" i="11"/>
  <c r="I450" i="11"/>
  <c r="K449" i="11"/>
  <c r="J449" i="11"/>
  <c r="I449" i="11"/>
  <c r="L449" i="11" s="1"/>
  <c r="K448" i="11"/>
  <c r="J448" i="11"/>
  <c r="I448" i="11"/>
  <c r="L448" i="11" s="1"/>
  <c r="L447" i="11"/>
  <c r="K447" i="11"/>
  <c r="J447" i="11"/>
  <c r="I447" i="11"/>
  <c r="K446" i="11"/>
  <c r="J446" i="11"/>
  <c r="I446" i="11"/>
  <c r="L446" i="11" s="1"/>
  <c r="K445" i="11"/>
  <c r="J445" i="11"/>
  <c r="I445" i="11"/>
  <c r="L445" i="11" s="1"/>
  <c r="K444" i="11"/>
  <c r="J444" i="11"/>
  <c r="I444" i="11"/>
  <c r="L444" i="11" s="1"/>
  <c r="K443" i="11"/>
  <c r="J443" i="11"/>
  <c r="I443" i="11"/>
  <c r="L443" i="11" s="1"/>
  <c r="K442" i="11"/>
  <c r="J442" i="11"/>
  <c r="I442" i="11"/>
  <c r="L442" i="11" s="1"/>
  <c r="K441" i="11"/>
  <c r="J441" i="11"/>
  <c r="I441" i="11"/>
  <c r="L441" i="11" s="1"/>
  <c r="K440" i="11"/>
  <c r="L440" i="11" s="1"/>
  <c r="J440" i="11"/>
  <c r="I440" i="11"/>
  <c r="K439" i="11"/>
  <c r="J439" i="11"/>
  <c r="I439" i="11"/>
  <c r="L439" i="11" s="1"/>
  <c r="K438" i="11"/>
  <c r="J438" i="11"/>
  <c r="I438" i="11"/>
  <c r="L438" i="11" s="1"/>
  <c r="K437" i="11"/>
  <c r="J437" i="11"/>
  <c r="I437" i="11"/>
  <c r="L437" i="11" s="1"/>
  <c r="K436" i="11"/>
  <c r="J436" i="11"/>
  <c r="I436" i="11"/>
  <c r="K435" i="11"/>
  <c r="J435" i="11"/>
  <c r="I435" i="11"/>
  <c r="L435" i="11" s="1"/>
  <c r="K434" i="11"/>
  <c r="L434" i="11" s="1"/>
  <c r="J434" i="11"/>
  <c r="I434" i="11"/>
  <c r="K433" i="11"/>
  <c r="J433" i="11"/>
  <c r="I433" i="11"/>
  <c r="L433" i="11" s="1"/>
  <c r="K432" i="11"/>
  <c r="J432" i="11"/>
  <c r="I432" i="11"/>
  <c r="L432" i="11" s="1"/>
  <c r="K431" i="11"/>
  <c r="L431" i="11" s="1"/>
  <c r="J431" i="11"/>
  <c r="I431" i="11"/>
  <c r="K430" i="11"/>
  <c r="J430" i="11"/>
  <c r="I430" i="11"/>
  <c r="K429" i="11"/>
  <c r="J429" i="11"/>
  <c r="I429" i="11"/>
  <c r="L429" i="11" s="1"/>
  <c r="K428" i="11"/>
  <c r="J428" i="11"/>
  <c r="I428" i="11"/>
  <c r="L428" i="11" s="1"/>
  <c r="K427" i="11"/>
  <c r="J427" i="11"/>
  <c r="I427" i="11"/>
  <c r="L427" i="11" s="1"/>
  <c r="K426" i="11"/>
  <c r="L426" i="11" s="1"/>
  <c r="J426" i="11"/>
  <c r="I426" i="11"/>
  <c r="L425" i="11"/>
  <c r="K425" i="11"/>
  <c r="J425" i="11"/>
  <c r="I425" i="11"/>
  <c r="K424" i="11"/>
  <c r="J424" i="11"/>
  <c r="I424" i="11"/>
  <c r="L424" i="11" s="1"/>
  <c r="K423" i="11"/>
  <c r="L423" i="11" s="1"/>
  <c r="J423" i="11"/>
  <c r="I423" i="11"/>
  <c r="K422" i="11"/>
  <c r="J422" i="11"/>
  <c r="I422" i="11"/>
  <c r="L422" i="11" s="1"/>
  <c r="L421" i="11"/>
  <c r="K421" i="11"/>
  <c r="J421" i="11"/>
  <c r="I421" i="11"/>
  <c r="K420" i="11"/>
  <c r="J420" i="11"/>
  <c r="I420" i="11"/>
  <c r="L420" i="11" s="1"/>
  <c r="K419" i="11"/>
  <c r="J419" i="11"/>
  <c r="I419" i="11"/>
  <c r="L419" i="11" s="1"/>
  <c r="K418" i="11"/>
  <c r="J418" i="11"/>
  <c r="I418" i="11"/>
  <c r="K417" i="11"/>
  <c r="J417" i="11"/>
  <c r="I417" i="11"/>
  <c r="L417" i="11" s="1"/>
  <c r="K416" i="11"/>
  <c r="J416" i="11"/>
  <c r="I416" i="11"/>
  <c r="L416" i="11" s="1"/>
  <c r="L415" i="11"/>
  <c r="K415" i="11"/>
  <c r="J415" i="11"/>
  <c r="I415" i="11"/>
  <c r="K414" i="11"/>
  <c r="J414" i="11"/>
  <c r="I414" i="11"/>
  <c r="L414" i="11" s="1"/>
  <c r="K413" i="11"/>
  <c r="J413" i="11"/>
  <c r="I413" i="11"/>
  <c r="L413" i="11" s="1"/>
  <c r="K412" i="11"/>
  <c r="J412" i="11"/>
  <c r="I412" i="11"/>
  <c r="K411" i="11"/>
  <c r="L411" i="11" s="1"/>
  <c r="J411" i="11"/>
  <c r="I411" i="11"/>
  <c r="K410" i="11"/>
  <c r="L410" i="11" s="1"/>
  <c r="J410" i="11"/>
  <c r="I410" i="11"/>
  <c r="K409" i="11"/>
  <c r="J409" i="11"/>
  <c r="I409" i="11"/>
  <c r="L409" i="11" s="1"/>
  <c r="K408" i="11"/>
  <c r="J408" i="11"/>
  <c r="I408" i="11"/>
  <c r="L408" i="11" s="1"/>
  <c r="L407" i="11"/>
  <c r="K407" i="11"/>
  <c r="J407" i="11"/>
  <c r="I407" i="11"/>
  <c r="K406" i="11"/>
  <c r="J406" i="11"/>
  <c r="I406" i="11"/>
  <c r="L406" i="11" s="1"/>
  <c r="K405" i="11"/>
  <c r="J405" i="11"/>
  <c r="I405" i="11"/>
  <c r="L405" i="11" s="1"/>
  <c r="K404" i="11"/>
  <c r="L404" i="11" s="1"/>
  <c r="J404" i="11"/>
  <c r="I404" i="11"/>
  <c r="L403" i="11"/>
  <c r="K403" i="11"/>
  <c r="J403" i="11"/>
  <c r="I403" i="11"/>
  <c r="K402" i="11"/>
  <c r="L402" i="11" s="1"/>
  <c r="J402" i="11"/>
  <c r="I402" i="11"/>
  <c r="K401" i="11"/>
  <c r="L401" i="11" s="1"/>
  <c r="J401" i="11"/>
  <c r="I401" i="11"/>
  <c r="K400" i="11"/>
  <c r="J400" i="11"/>
  <c r="I400" i="11"/>
  <c r="L400" i="11" s="1"/>
  <c r="K399" i="11"/>
  <c r="J399" i="11"/>
  <c r="I399" i="11"/>
  <c r="L399" i="11" s="1"/>
  <c r="K398" i="11"/>
  <c r="J398" i="11"/>
  <c r="I398" i="11"/>
  <c r="L398" i="11" s="1"/>
  <c r="K397" i="11"/>
  <c r="L397" i="11" s="1"/>
  <c r="J397" i="11"/>
  <c r="I397" i="11"/>
  <c r="K396" i="11"/>
  <c r="L396" i="11" s="1"/>
  <c r="J396" i="11"/>
  <c r="I396" i="11"/>
  <c r="K395" i="11"/>
  <c r="J395" i="11"/>
  <c r="I395" i="11"/>
  <c r="L395" i="11" s="1"/>
  <c r="K394" i="11"/>
  <c r="J394" i="11"/>
  <c r="I394" i="11"/>
  <c r="L394" i="11" s="1"/>
  <c r="K393" i="11"/>
  <c r="L393" i="11" s="1"/>
  <c r="J393" i="11"/>
  <c r="I393" i="11"/>
  <c r="K392" i="11"/>
  <c r="J392" i="11"/>
  <c r="I392" i="11"/>
  <c r="L392" i="11" s="1"/>
  <c r="K391" i="11"/>
  <c r="J391" i="11"/>
  <c r="I391" i="11"/>
  <c r="L391" i="11" s="1"/>
  <c r="L390" i="11"/>
  <c r="K390" i="11"/>
  <c r="J390" i="11"/>
  <c r="I390" i="11"/>
  <c r="K389" i="11"/>
  <c r="J389" i="11"/>
  <c r="I389" i="11"/>
  <c r="L389" i="11" s="1"/>
  <c r="K388" i="11"/>
  <c r="J388" i="11"/>
  <c r="I388" i="11"/>
  <c r="L388" i="11" s="1"/>
  <c r="L387" i="11"/>
  <c r="K387" i="11"/>
  <c r="J387" i="11"/>
  <c r="I387" i="11"/>
  <c r="K386" i="11"/>
  <c r="J386" i="11"/>
  <c r="I386" i="11"/>
  <c r="L386" i="11" s="1"/>
  <c r="K385" i="11"/>
  <c r="L385" i="11" s="1"/>
  <c r="J385" i="11"/>
  <c r="I385" i="11"/>
  <c r="K384" i="11"/>
  <c r="L384" i="11" s="1"/>
  <c r="J384" i="11"/>
  <c r="I384" i="11"/>
  <c r="L383" i="11"/>
  <c r="K383" i="11"/>
  <c r="J383" i="11"/>
  <c r="I383" i="11"/>
  <c r="K382" i="11"/>
  <c r="J382" i="11"/>
  <c r="I382" i="11"/>
  <c r="K381" i="11"/>
  <c r="L381" i="11" s="1"/>
  <c r="J381" i="11"/>
  <c r="I381" i="11"/>
  <c r="K380" i="11"/>
  <c r="J380" i="11"/>
  <c r="I380" i="11"/>
  <c r="L380" i="11" s="1"/>
  <c r="K379" i="11"/>
  <c r="J379" i="11"/>
  <c r="I379" i="11"/>
  <c r="L379" i="11" s="1"/>
  <c r="L378" i="11"/>
  <c r="K378" i="11"/>
  <c r="J378" i="11"/>
  <c r="I378" i="11"/>
  <c r="L377" i="11"/>
  <c r="K377" i="11"/>
  <c r="J377" i="11"/>
  <c r="I377" i="11"/>
  <c r="K376" i="11"/>
  <c r="J376" i="11"/>
  <c r="I376" i="11"/>
  <c r="L376" i="11" s="1"/>
  <c r="K375" i="11"/>
  <c r="J375" i="11"/>
  <c r="I375" i="11"/>
  <c r="L375" i="11" s="1"/>
  <c r="L374" i="11"/>
  <c r="K374" i="11"/>
  <c r="J374" i="11"/>
  <c r="I374" i="11"/>
  <c r="K373" i="11"/>
  <c r="J373" i="11"/>
  <c r="I373" i="11"/>
  <c r="L373" i="11" s="1"/>
  <c r="K372" i="11"/>
  <c r="J372" i="11"/>
  <c r="I372" i="11"/>
  <c r="L372" i="11" s="1"/>
  <c r="K371" i="11"/>
  <c r="J371" i="11"/>
  <c r="I371" i="11"/>
  <c r="L371" i="11" s="1"/>
  <c r="K370" i="11"/>
  <c r="J370" i="11"/>
  <c r="I370" i="11"/>
  <c r="K369" i="11"/>
  <c r="J369" i="11"/>
  <c r="I369" i="11"/>
  <c r="L369" i="11" s="1"/>
  <c r="K368" i="11"/>
  <c r="J368" i="11"/>
  <c r="I368" i="11"/>
  <c r="L368" i="11" s="1"/>
  <c r="L367" i="11"/>
  <c r="K367" i="11"/>
  <c r="J367" i="11"/>
  <c r="I367" i="11"/>
  <c r="K366" i="11"/>
  <c r="J366" i="11"/>
  <c r="I366" i="11"/>
  <c r="L366" i="11" s="1"/>
  <c r="K365" i="11"/>
  <c r="J365" i="11"/>
  <c r="I365" i="11"/>
  <c r="L365" i="11" s="1"/>
  <c r="K364" i="11"/>
  <c r="J364" i="11"/>
  <c r="I364" i="11"/>
  <c r="K363" i="11"/>
  <c r="J363" i="11"/>
  <c r="I363" i="11"/>
  <c r="L363" i="11" s="1"/>
  <c r="K362" i="11"/>
  <c r="L362" i="11" s="1"/>
  <c r="J362" i="11"/>
  <c r="I362" i="11"/>
  <c r="K361" i="11"/>
  <c r="L361" i="11" s="1"/>
  <c r="J361" i="11"/>
  <c r="I361" i="11"/>
  <c r="K360" i="11"/>
  <c r="J360" i="11"/>
  <c r="I360" i="11"/>
  <c r="L360" i="11" s="1"/>
  <c r="K359" i="11"/>
  <c r="J359" i="11"/>
  <c r="I359" i="11"/>
  <c r="L359" i="11" s="1"/>
  <c r="K358" i="11"/>
  <c r="J358" i="11"/>
  <c r="I358" i="11"/>
  <c r="L358" i="11" s="1"/>
  <c r="L357" i="11"/>
  <c r="K357" i="11"/>
  <c r="J357" i="11"/>
  <c r="I357" i="11"/>
  <c r="K356" i="11"/>
  <c r="J356" i="11"/>
  <c r="I356" i="11"/>
  <c r="L356" i="11" s="1"/>
  <c r="K355" i="11"/>
  <c r="J355" i="11"/>
  <c r="I355" i="11"/>
  <c r="L355" i="11" s="1"/>
  <c r="K354" i="11"/>
  <c r="J354" i="11"/>
  <c r="I354" i="11"/>
  <c r="K353" i="11"/>
  <c r="J353" i="11"/>
  <c r="I353" i="11"/>
  <c r="L353" i="11" s="1"/>
  <c r="K352" i="11"/>
  <c r="J352" i="11"/>
  <c r="I352" i="11"/>
  <c r="L352" i="11" s="1"/>
  <c r="K351" i="11"/>
  <c r="L351" i="11" s="1"/>
  <c r="J351" i="11"/>
  <c r="I351" i="11"/>
  <c r="K350" i="11"/>
  <c r="J350" i="11"/>
  <c r="I350" i="11"/>
  <c r="L350" i="11" s="1"/>
  <c r="K349" i="11"/>
  <c r="J349" i="11"/>
  <c r="I349" i="11"/>
  <c r="L349" i="11" s="1"/>
  <c r="K348" i="11"/>
  <c r="J348" i="11"/>
  <c r="I348" i="11"/>
  <c r="K347" i="11"/>
  <c r="J347" i="11"/>
  <c r="I347" i="11"/>
  <c r="L347" i="11" s="1"/>
  <c r="K346" i="11"/>
  <c r="J346" i="11"/>
  <c r="I346" i="11"/>
  <c r="L346" i="11" s="1"/>
  <c r="K345" i="11"/>
  <c r="L345" i="11" s="1"/>
  <c r="J345" i="11"/>
  <c r="I345" i="11"/>
  <c r="K344" i="11"/>
  <c r="J344" i="11"/>
  <c r="I344" i="11"/>
  <c r="L344" i="11" s="1"/>
  <c r="K343" i="11"/>
  <c r="J343" i="11"/>
  <c r="I343" i="11"/>
  <c r="L343" i="11" s="1"/>
  <c r="K342" i="11"/>
  <c r="J342" i="11"/>
  <c r="I342" i="11"/>
  <c r="L342" i="11" s="1"/>
  <c r="K341" i="11"/>
  <c r="L341" i="11" s="1"/>
  <c r="J341" i="11"/>
  <c r="I341" i="11"/>
  <c r="K340" i="11"/>
  <c r="J340" i="11"/>
  <c r="I340" i="11"/>
  <c r="L340" i="11" s="1"/>
  <c r="K339" i="11"/>
  <c r="J339" i="11"/>
  <c r="I339" i="11"/>
  <c r="L339" i="11" s="1"/>
  <c r="L338" i="11"/>
  <c r="K338" i="11"/>
  <c r="J338" i="11"/>
  <c r="I338" i="11"/>
  <c r="L337" i="11"/>
  <c r="K337" i="11"/>
  <c r="J337" i="11"/>
  <c r="I337" i="11"/>
  <c r="K336" i="11"/>
  <c r="J336" i="11"/>
  <c r="I336" i="11"/>
  <c r="L336" i="11" s="1"/>
  <c r="K335" i="11"/>
  <c r="L335" i="11" s="1"/>
  <c r="J335" i="11"/>
  <c r="I335" i="11"/>
  <c r="K334" i="11"/>
  <c r="J334" i="11"/>
  <c r="I334" i="11"/>
  <c r="L334" i="11" s="1"/>
  <c r="K333" i="11"/>
  <c r="J333" i="11"/>
  <c r="I333" i="11"/>
  <c r="L333" i="11" s="1"/>
  <c r="K332" i="11"/>
  <c r="L332" i="11" s="1"/>
  <c r="J332" i="11"/>
  <c r="I332" i="11"/>
  <c r="K331" i="11"/>
  <c r="J331" i="11"/>
  <c r="I331" i="11"/>
  <c r="K330" i="11"/>
  <c r="J330" i="11"/>
  <c r="I330" i="11"/>
  <c r="L330" i="11" s="1"/>
  <c r="L329" i="11"/>
  <c r="K329" i="11"/>
  <c r="J329" i="11"/>
  <c r="I329" i="11"/>
  <c r="K328" i="11"/>
  <c r="J328" i="11"/>
  <c r="I328" i="11"/>
  <c r="K327" i="11"/>
  <c r="J327" i="11"/>
  <c r="I327" i="11"/>
  <c r="L327" i="11" s="1"/>
  <c r="K326" i="11"/>
  <c r="J326" i="11"/>
  <c r="I326" i="11"/>
  <c r="L326" i="11" s="1"/>
  <c r="K325" i="11"/>
  <c r="J325" i="11"/>
  <c r="I325" i="11"/>
  <c r="L324" i="11"/>
  <c r="K324" i="11"/>
  <c r="J324" i="11"/>
  <c r="I324" i="11"/>
  <c r="K323" i="11"/>
  <c r="J323" i="11"/>
  <c r="I323" i="11"/>
  <c r="L323" i="11" s="1"/>
  <c r="K322" i="11"/>
  <c r="J322" i="11"/>
  <c r="I322" i="11"/>
  <c r="L322" i="11" s="1"/>
  <c r="L321" i="11"/>
  <c r="K321" i="11"/>
  <c r="J321" i="11"/>
  <c r="I321" i="11"/>
  <c r="K320" i="11"/>
  <c r="L320" i="11" s="1"/>
  <c r="J320" i="11"/>
  <c r="I320" i="11"/>
  <c r="L319" i="11"/>
  <c r="K319" i="11"/>
  <c r="J319" i="11"/>
  <c r="I319" i="11"/>
  <c r="K318" i="11"/>
  <c r="J318" i="11"/>
  <c r="I318" i="11"/>
  <c r="L318" i="11" s="1"/>
  <c r="K317" i="11"/>
  <c r="J317" i="11"/>
  <c r="I317" i="11"/>
  <c r="L317" i="11" s="1"/>
  <c r="K316" i="11"/>
  <c r="J316" i="11"/>
  <c r="I316" i="11"/>
  <c r="K315" i="11"/>
  <c r="L315" i="11" s="1"/>
  <c r="J315" i="11"/>
  <c r="I315" i="11"/>
  <c r="K314" i="11"/>
  <c r="J314" i="11"/>
  <c r="I314" i="11"/>
  <c r="L314" i="11" s="1"/>
  <c r="K313" i="11"/>
  <c r="L313" i="11" s="1"/>
  <c r="J313" i="11"/>
  <c r="I313" i="11"/>
  <c r="K312" i="11"/>
  <c r="L312" i="11" s="1"/>
  <c r="J312" i="11"/>
  <c r="I312" i="11"/>
  <c r="K311" i="11"/>
  <c r="L311" i="11" s="1"/>
  <c r="J311" i="11"/>
  <c r="I311" i="11"/>
  <c r="K310" i="11"/>
  <c r="J310" i="11"/>
  <c r="I310" i="11"/>
  <c r="L310" i="11" s="1"/>
  <c r="K309" i="11"/>
  <c r="J309" i="11"/>
  <c r="I309" i="11"/>
  <c r="L309" i="11" s="1"/>
  <c r="L308" i="11"/>
  <c r="K308" i="11"/>
  <c r="J308" i="11"/>
  <c r="I308" i="11"/>
  <c r="K307" i="11"/>
  <c r="L307" i="11" s="1"/>
  <c r="J307" i="11"/>
  <c r="I307" i="11"/>
  <c r="K306" i="11"/>
  <c r="J306" i="11"/>
  <c r="I306" i="11"/>
  <c r="L306" i="11" s="1"/>
  <c r="K305" i="11"/>
  <c r="J305" i="11"/>
  <c r="I305" i="11"/>
  <c r="L305" i="11" s="1"/>
  <c r="K304" i="11"/>
  <c r="J304" i="11"/>
  <c r="I304" i="11"/>
  <c r="K303" i="11"/>
  <c r="J303" i="11"/>
  <c r="I303" i="11"/>
  <c r="L303" i="11" s="1"/>
  <c r="K302" i="11"/>
  <c r="J302" i="11"/>
  <c r="I302" i="11"/>
  <c r="L302" i="11" s="1"/>
  <c r="K301" i="11"/>
  <c r="J301" i="11"/>
  <c r="I301" i="11"/>
  <c r="L301" i="11" s="1"/>
  <c r="K300" i="11"/>
  <c r="J300" i="11"/>
  <c r="I300" i="11"/>
  <c r="K299" i="11"/>
  <c r="J299" i="11"/>
  <c r="I299" i="11"/>
  <c r="L299" i="11" s="1"/>
  <c r="K298" i="11"/>
  <c r="J298" i="11"/>
  <c r="I298" i="11"/>
  <c r="L297" i="11"/>
  <c r="K297" i="11"/>
  <c r="J297" i="11"/>
  <c r="I297" i="11"/>
  <c r="K296" i="11"/>
  <c r="J296" i="11"/>
  <c r="I296" i="11"/>
  <c r="L296" i="11" s="1"/>
  <c r="K295" i="11"/>
  <c r="L295" i="11" s="1"/>
  <c r="J295" i="11"/>
  <c r="I295" i="11"/>
  <c r="K294" i="11"/>
  <c r="J294" i="11"/>
  <c r="I294" i="11"/>
  <c r="L294" i="11" s="1"/>
  <c r="K293" i="11"/>
  <c r="J293" i="11"/>
  <c r="I293" i="11"/>
  <c r="L293" i="11" s="1"/>
  <c r="K292" i="11"/>
  <c r="J292" i="11"/>
  <c r="I292" i="11"/>
  <c r="L292" i="11" s="1"/>
  <c r="K291" i="11"/>
  <c r="L291" i="11" s="1"/>
  <c r="J291" i="11"/>
  <c r="I291" i="11"/>
  <c r="K290" i="11"/>
  <c r="J290" i="11"/>
  <c r="I290" i="11"/>
  <c r="L290" i="11" s="1"/>
  <c r="K289" i="11"/>
  <c r="J289" i="11"/>
  <c r="I289" i="11"/>
  <c r="L289" i="11" s="1"/>
  <c r="L288" i="11"/>
  <c r="K288" i="11"/>
  <c r="J288" i="11"/>
  <c r="I288" i="11"/>
  <c r="L287" i="11"/>
  <c r="K287" i="11"/>
  <c r="J287" i="11"/>
  <c r="I287" i="11"/>
  <c r="K286" i="11"/>
  <c r="J286" i="11"/>
  <c r="I286" i="11"/>
  <c r="K285" i="11"/>
  <c r="L285" i="11" s="1"/>
  <c r="J285" i="11"/>
  <c r="I285" i="11"/>
  <c r="K284" i="11"/>
  <c r="J284" i="11"/>
  <c r="I284" i="11"/>
  <c r="L284" i="11" s="1"/>
  <c r="K283" i="11"/>
  <c r="J283" i="11"/>
  <c r="I283" i="11"/>
  <c r="L283" i="11" s="1"/>
  <c r="K282" i="11"/>
  <c r="L282" i="11" s="1"/>
  <c r="J282" i="11"/>
  <c r="I282" i="11"/>
  <c r="K281" i="11"/>
  <c r="L281" i="11" s="1"/>
  <c r="J281" i="11"/>
  <c r="I281" i="11"/>
  <c r="K280" i="11"/>
  <c r="J280" i="11"/>
  <c r="I280" i="11"/>
  <c r="L280" i="11" s="1"/>
  <c r="L279" i="11"/>
  <c r="K279" i="11"/>
  <c r="J279" i="11"/>
  <c r="I279" i="11"/>
  <c r="L278" i="11"/>
  <c r="K278" i="11"/>
  <c r="J278" i="11"/>
  <c r="I278" i="11"/>
  <c r="K277" i="11"/>
  <c r="J277" i="11"/>
  <c r="I277" i="11"/>
  <c r="L277" i="11" s="1"/>
  <c r="K276" i="11"/>
  <c r="L276" i="11" s="1"/>
  <c r="J276" i="11"/>
  <c r="I276" i="11"/>
  <c r="K275" i="11"/>
  <c r="J275" i="11"/>
  <c r="I275" i="11"/>
  <c r="L275" i="11" s="1"/>
  <c r="K274" i="11"/>
  <c r="J274" i="11"/>
  <c r="I274" i="11"/>
  <c r="K273" i="11"/>
  <c r="J273" i="11"/>
  <c r="I273" i="11"/>
  <c r="K272" i="11"/>
  <c r="L272" i="11" s="1"/>
  <c r="J272" i="11"/>
  <c r="I272" i="11"/>
  <c r="K271" i="11"/>
  <c r="J271" i="11"/>
  <c r="I271" i="11"/>
  <c r="L271" i="11" s="1"/>
  <c r="K270" i="11"/>
  <c r="J270" i="11"/>
  <c r="I270" i="11"/>
  <c r="L270" i="11" s="1"/>
  <c r="K269" i="11"/>
  <c r="J269" i="11"/>
  <c r="I269" i="11"/>
  <c r="L269" i="11" s="1"/>
  <c r="K268" i="11"/>
  <c r="J268" i="11"/>
  <c r="I268" i="11"/>
  <c r="K267" i="11"/>
  <c r="J267" i="11"/>
  <c r="I267" i="11"/>
  <c r="L267" i="11" s="1"/>
  <c r="K266" i="11"/>
  <c r="J266" i="11"/>
  <c r="I266" i="11"/>
  <c r="L265" i="11"/>
  <c r="K265" i="11"/>
  <c r="J265" i="11"/>
  <c r="I265" i="11"/>
  <c r="L264" i="11"/>
  <c r="K264" i="11"/>
  <c r="J264" i="11"/>
  <c r="I264" i="11"/>
  <c r="K263" i="11"/>
  <c r="L263" i="11" s="1"/>
  <c r="J263" i="11"/>
  <c r="I263" i="11"/>
  <c r="K262" i="11"/>
  <c r="J262" i="11"/>
  <c r="I262" i="11"/>
  <c r="K261" i="11"/>
  <c r="J261" i="11"/>
  <c r="I261" i="11"/>
  <c r="L261" i="11" s="1"/>
  <c r="K260" i="11"/>
  <c r="J260" i="11"/>
  <c r="I260" i="11"/>
  <c r="L260" i="11" s="1"/>
  <c r="L259" i="11"/>
  <c r="K259" i="11"/>
  <c r="J259" i="11"/>
  <c r="I259" i="11"/>
  <c r="K258" i="11"/>
  <c r="J258" i="11"/>
  <c r="I258" i="11"/>
  <c r="L258" i="11" s="1"/>
  <c r="K257" i="11"/>
  <c r="L257" i="11" s="1"/>
  <c r="J257" i="11"/>
  <c r="I257" i="11"/>
  <c r="K256" i="11"/>
  <c r="J256" i="11"/>
  <c r="I256" i="11"/>
  <c r="L256" i="11" s="1"/>
  <c r="K255" i="11"/>
  <c r="J255" i="11"/>
  <c r="I255" i="11"/>
  <c r="K254" i="11"/>
  <c r="J254" i="11"/>
  <c r="I254" i="11"/>
  <c r="L254" i="11" s="1"/>
  <c r="K253" i="11"/>
  <c r="J253" i="11"/>
  <c r="I253" i="11"/>
  <c r="L253" i="11" s="1"/>
  <c r="K252" i="11"/>
  <c r="J252" i="11"/>
  <c r="I252" i="11"/>
  <c r="L252" i="11" s="1"/>
  <c r="L251" i="11"/>
  <c r="K251" i="11"/>
  <c r="J251" i="11"/>
  <c r="I251" i="11"/>
  <c r="K250" i="11"/>
  <c r="L250" i="11" s="1"/>
  <c r="J250" i="11"/>
  <c r="I250" i="11"/>
  <c r="K249" i="11"/>
  <c r="J249" i="11"/>
  <c r="I249" i="11"/>
  <c r="K248" i="11"/>
  <c r="J248" i="11"/>
  <c r="I248" i="11"/>
  <c r="K247" i="11"/>
  <c r="J247" i="11"/>
  <c r="I247" i="11"/>
  <c r="L247" i="11" s="1"/>
  <c r="K246" i="11"/>
  <c r="L246" i="11" s="1"/>
  <c r="J246" i="11"/>
  <c r="I246" i="11"/>
  <c r="K245" i="11"/>
  <c r="L245" i="11" s="1"/>
  <c r="J245" i="11"/>
  <c r="I245" i="11"/>
  <c r="K244" i="11"/>
  <c r="L244" i="11" s="1"/>
  <c r="J244" i="11"/>
  <c r="I244" i="11"/>
  <c r="K243" i="11"/>
  <c r="J243" i="11"/>
  <c r="I243" i="11"/>
  <c r="K242" i="11"/>
  <c r="J242" i="11"/>
  <c r="I242" i="11"/>
  <c r="L242" i="11" s="1"/>
  <c r="L241" i="11"/>
  <c r="K241" i="11"/>
  <c r="J241" i="11"/>
  <c r="I241" i="11"/>
  <c r="K240" i="11"/>
  <c r="J240" i="11"/>
  <c r="I240" i="11"/>
  <c r="L240" i="11" s="1"/>
  <c r="L239" i="11"/>
  <c r="K239" i="11"/>
  <c r="J239" i="11"/>
  <c r="I239" i="11"/>
  <c r="K238" i="11"/>
  <c r="J238" i="11"/>
  <c r="I238" i="11"/>
  <c r="L238" i="11" s="1"/>
  <c r="K237" i="11"/>
  <c r="J237" i="11"/>
  <c r="I237" i="11"/>
  <c r="L237" i="11" s="1"/>
  <c r="K236" i="11"/>
  <c r="J236" i="11"/>
  <c r="I236" i="11"/>
  <c r="L236" i="11" s="1"/>
  <c r="K235" i="11"/>
  <c r="J235" i="11"/>
  <c r="I235" i="11"/>
  <c r="L235" i="11" s="1"/>
  <c r="K234" i="11"/>
  <c r="J234" i="11"/>
  <c r="I234" i="11"/>
  <c r="L234" i="11" s="1"/>
  <c r="L233" i="11"/>
  <c r="K233" i="11"/>
  <c r="J233" i="11"/>
  <c r="I233" i="11"/>
  <c r="K232" i="11"/>
  <c r="J232" i="11"/>
  <c r="I232" i="11"/>
  <c r="L232" i="11" s="1"/>
  <c r="K231" i="11"/>
  <c r="J231" i="11"/>
  <c r="I231" i="11"/>
  <c r="L230" i="11"/>
  <c r="K230" i="11"/>
  <c r="J230" i="11"/>
  <c r="I230" i="11"/>
  <c r="K229" i="11"/>
  <c r="J229" i="11"/>
  <c r="I229" i="11"/>
  <c r="L229" i="11" s="1"/>
  <c r="K228" i="11"/>
  <c r="J228" i="11"/>
  <c r="I228" i="11"/>
  <c r="L228" i="11" s="1"/>
  <c r="L227" i="11"/>
  <c r="K227" i="11"/>
  <c r="J227" i="11"/>
  <c r="I227" i="11"/>
  <c r="K226" i="11"/>
  <c r="J226" i="11"/>
  <c r="I226" i="11"/>
  <c r="K225" i="11"/>
  <c r="J225" i="11"/>
  <c r="I225" i="11"/>
  <c r="L224" i="11"/>
  <c r="K224" i="11"/>
  <c r="J224" i="11"/>
  <c r="I224" i="11"/>
  <c r="K223" i="11"/>
  <c r="J223" i="11"/>
  <c r="I223" i="11"/>
  <c r="L223" i="11" s="1"/>
  <c r="K222" i="11"/>
  <c r="J222" i="11"/>
  <c r="I222" i="11"/>
  <c r="L222" i="11" s="1"/>
  <c r="K221" i="11"/>
  <c r="L221" i="11" s="1"/>
  <c r="J221" i="11"/>
  <c r="I221" i="11"/>
  <c r="K220" i="11"/>
  <c r="J220" i="11"/>
  <c r="I220" i="11"/>
  <c r="L220" i="11" s="1"/>
  <c r="K219" i="11"/>
  <c r="J219" i="11"/>
  <c r="I219" i="11"/>
  <c r="K218" i="11"/>
  <c r="J218" i="11"/>
  <c r="I218" i="11"/>
  <c r="L218" i="11" s="1"/>
  <c r="K217" i="11"/>
  <c r="J217" i="11"/>
  <c r="I217" i="11"/>
  <c r="L217" i="11" s="1"/>
  <c r="K216" i="11"/>
  <c r="J216" i="11"/>
  <c r="I216" i="11"/>
  <c r="L216" i="11" s="1"/>
  <c r="K215" i="11"/>
  <c r="L215" i="11" s="1"/>
  <c r="J215" i="11"/>
  <c r="I215" i="11"/>
  <c r="L214" i="11"/>
  <c r="K214" i="11"/>
  <c r="J214" i="11"/>
  <c r="I214" i="11"/>
  <c r="K213" i="11"/>
  <c r="J213" i="11"/>
  <c r="I213" i="11"/>
  <c r="L213" i="11" s="1"/>
  <c r="K212" i="11"/>
  <c r="J212" i="11"/>
  <c r="I212" i="11"/>
  <c r="L212" i="11" s="1"/>
  <c r="L211" i="11"/>
  <c r="K211" i="11"/>
  <c r="J211" i="11"/>
  <c r="I211" i="11"/>
  <c r="K210" i="11"/>
  <c r="J210" i="11"/>
  <c r="I210" i="11"/>
  <c r="L210" i="11" s="1"/>
  <c r="K209" i="11"/>
  <c r="L209" i="11" s="1"/>
  <c r="J209" i="11"/>
  <c r="I209" i="11"/>
  <c r="L208" i="11"/>
  <c r="K208" i="11"/>
  <c r="J208" i="11"/>
  <c r="I208" i="11"/>
  <c r="K207" i="11"/>
  <c r="J207" i="11"/>
  <c r="I207" i="11"/>
  <c r="L207" i="11" s="1"/>
  <c r="L206" i="11"/>
  <c r="K206" i="11"/>
  <c r="J206" i="11"/>
  <c r="I206" i="11"/>
  <c r="K205" i="11"/>
  <c r="L205" i="11" s="1"/>
  <c r="J205" i="11"/>
  <c r="I205" i="11"/>
  <c r="K204" i="11"/>
  <c r="J204" i="11"/>
  <c r="I204" i="11"/>
  <c r="L204" i="11" s="1"/>
  <c r="K203" i="11"/>
  <c r="L203" i="11" s="1"/>
  <c r="J203" i="11"/>
  <c r="I203" i="11"/>
  <c r="L202" i="11"/>
  <c r="K202" i="11"/>
  <c r="J202" i="11"/>
  <c r="I202" i="11"/>
  <c r="K201" i="11"/>
  <c r="J201" i="11"/>
  <c r="I201" i="11"/>
  <c r="L201" i="11" s="1"/>
  <c r="K200" i="11"/>
  <c r="L200" i="11" s="1"/>
  <c r="J200" i="11"/>
  <c r="I200" i="11"/>
  <c r="K199" i="11"/>
  <c r="L199" i="11" s="1"/>
  <c r="J199" i="11"/>
  <c r="I199" i="11"/>
  <c r="K198" i="11"/>
  <c r="J198" i="11"/>
  <c r="I198" i="11"/>
  <c r="L198" i="11" s="1"/>
  <c r="K197" i="11"/>
  <c r="L197" i="11" s="1"/>
  <c r="J197" i="11"/>
  <c r="I197" i="11"/>
  <c r="K196" i="11"/>
  <c r="L196" i="11" s="1"/>
  <c r="J196" i="11"/>
  <c r="I196" i="11"/>
  <c r="K195" i="11"/>
  <c r="J195" i="11"/>
  <c r="I195" i="11"/>
  <c r="K194" i="11"/>
  <c r="J194" i="11"/>
  <c r="I194" i="11"/>
  <c r="L194" i="11" s="1"/>
  <c r="L193" i="11"/>
  <c r="K193" i="11"/>
  <c r="J193" i="11"/>
  <c r="I193" i="11"/>
  <c r="K192" i="11"/>
  <c r="J192" i="11"/>
  <c r="I192" i="11"/>
  <c r="L192" i="11" s="1"/>
  <c r="L191" i="11"/>
  <c r="K191" i="11"/>
  <c r="J191" i="11"/>
  <c r="I191" i="11"/>
  <c r="K190" i="11"/>
  <c r="J190" i="11"/>
  <c r="I190" i="11"/>
  <c r="L190" i="11" s="1"/>
  <c r="K189" i="11"/>
  <c r="J189" i="11"/>
  <c r="I189" i="11"/>
  <c r="L188" i="11"/>
  <c r="K188" i="11"/>
  <c r="J188" i="11"/>
  <c r="I188" i="11"/>
  <c r="K187" i="11"/>
  <c r="J187" i="11"/>
  <c r="I187" i="11"/>
  <c r="L187" i="11" s="1"/>
  <c r="K186" i="11"/>
  <c r="J186" i="11"/>
  <c r="I186" i="11"/>
  <c r="L186" i="11" s="1"/>
  <c r="K185" i="11"/>
  <c r="L185" i="11" s="1"/>
  <c r="J185" i="11"/>
  <c r="I185" i="11"/>
  <c r="K184" i="11"/>
  <c r="J184" i="11"/>
  <c r="I184" i="11"/>
  <c r="L184" i="11" s="1"/>
  <c r="K183" i="11"/>
  <c r="J183" i="11"/>
  <c r="I183" i="11"/>
  <c r="L183" i="11" s="1"/>
  <c r="L182" i="11"/>
  <c r="K182" i="11"/>
  <c r="J182" i="11"/>
  <c r="I182" i="11"/>
  <c r="K181" i="11"/>
  <c r="J181" i="11"/>
  <c r="I181" i="11"/>
  <c r="L181" i="11" s="1"/>
  <c r="K180" i="11"/>
  <c r="L180" i="11" s="1"/>
  <c r="J180" i="11"/>
  <c r="I180" i="11"/>
  <c r="L179" i="11"/>
  <c r="K179" i="11"/>
  <c r="J179" i="11"/>
  <c r="I179" i="11"/>
  <c r="L178" i="11"/>
  <c r="K178" i="11"/>
  <c r="J178" i="11"/>
  <c r="I178" i="11"/>
  <c r="K177" i="11"/>
  <c r="J177" i="11"/>
  <c r="I177" i="11"/>
  <c r="L177" i="11" s="1"/>
  <c r="K176" i="11"/>
  <c r="L176" i="11" s="1"/>
  <c r="J176" i="11"/>
  <c r="I176" i="11"/>
  <c r="K175" i="11"/>
  <c r="J175" i="11"/>
  <c r="I175" i="11"/>
  <c r="L175" i="11" s="1"/>
  <c r="K174" i="11"/>
  <c r="L174" i="11" s="1"/>
  <c r="J174" i="11"/>
  <c r="I174" i="11"/>
  <c r="K173" i="11"/>
  <c r="L173" i="11" s="1"/>
  <c r="J173" i="11"/>
  <c r="I173" i="11"/>
  <c r="K172" i="11"/>
  <c r="J172" i="11"/>
  <c r="I172" i="11"/>
  <c r="L172" i="11" s="1"/>
  <c r="K171" i="11"/>
  <c r="J171" i="11"/>
  <c r="I171" i="11"/>
  <c r="L171" i="11" s="1"/>
  <c r="K170" i="11"/>
  <c r="J170" i="11"/>
  <c r="I170" i="11"/>
  <c r="L170" i="11" s="1"/>
  <c r="L169" i="11"/>
  <c r="K169" i="11"/>
  <c r="J169" i="11"/>
  <c r="I169" i="11"/>
  <c r="K168" i="11"/>
  <c r="J168" i="11"/>
  <c r="I168" i="11"/>
  <c r="L168" i="11" s="1"/>
  <c r="K167" i="11"/>
  <c r="L167" i="11" s="1"/>
  <c r="J167" i="11"/>
  <c r="I167" i="11"/>
  <c r="K166" i="11"/>
  <c r="J166" i="11"/>
  <c r="I166" i="11"/>
  <c r="L166" i="11" s="1"/>
  <c r="K165" i="11"/>
  <c r="J165" i="11"/>
  <c r="I165" i="11"/>
  <c r="K164" i="11"/>
  <c r="J164" i="11"/>
  <c r="I164" i="11"/>
  <c r="L164" i="11" s="1"/>
  <c r="K163" i="11"/>
  <c r="L163" i="11" s="1"/>
  <c r="J163" i="11"/>
  <c r="I163" i="11"/>
  <c r="K162" i="11"/>
  <c r="J162" i="11"/>
  <c r="I162" i="11"/>
  <c r="L162" i="11" s="1"/>
  <c r="L161" i="11"/>
  <c r="K161" i="11"/>
  <c r="J161" i="11"/>
  <c r="I161" i="11"/>
  <c r="L160" i="11"/>
  <c r="K160" i="11"/>
  <c r="J160" i="11"/>
  <c r="I160" i="11"/>
  <c r="K159" i="11"/>
  <c r="J159" i="11"/>
  <c r="I159" i="11"/>
  <c r="L158" i="11"/>
  <c r="K158" i="11"/>
  <c r="J158" i="11"/>
  <c r="I158" i="11"/>
  <c r="K157" i="11"/>
  <c r="J157" i="11"/>
  <c r="I157" i="11"/>
  <c r="L157" i="11" s="1"/>
  <c r="K156" i="11"/>
  <c r="J156" i="11"/>
  <c r="I156" i="11"/>
  <c r="L156" i="11" s="1"/>
  <c r="K155" i="11"/>
  <c r="L155" i="11" s="1"/>
  <c r="J155" i="11"/>
  <c r="I155" i="11"/>
  <c r="K154" i="11"/>
  <c r="L154" i="11" s="1"/>
  <c r="J154" i="11"/>
  <c r="I154" i="11"/>
  <c r="K153" i="11"/>
  <c r="J153" i="11"/>
  <c r="I153" i="11"/>
  <c r="L153" i="11" s="1"/>
  <c r="L152" i="11"/>
  <c r="K152" i="11"/>
  <c r="J152" i="11"/>
  <c r="I152" i="11"/>
  <c r="K151" i="11"/>
  <c r="J151" i="11"/>
  <c r="I151" i="11"/>
  <c r="L151" i="11" s="1"/>
  <c r="L150" i="11"/>
  <c r="K150" i="11"/>
  <c r="J150" i="11"/>
  <c r="I150" i="11"/>
  <c r="L149" i="11"/>
  <c r="K149" i="11"/>
  <c r="J149" i="11"/>
  <c r="I149" i="11"/>
  <c r="K148" i="11"/>
  <c r="J148" i="11"/>
  <c r="I148" i="11"/>
  <c r="L148" i="11" s="1"/>
  <c r="K147" i="11"/>
  <c r="J147" i="11"/>
  <c r="I147" i="11"/>
  <c r="K146" i="11"/>
  <c r="L146" i="11" s="1"/>
  <c r="J146" i="11"/>
  <c r="I146" i="11"/>
  <c r="L145" i="11"/>
  <c r="K145" i="11"/>
  <c r="J145" i="11"/>
  <c r="I145" i="11"/>
  <c r="K144" i="11"/>
  <c r="L144" i="11" s="1"/>
  <c r="J144" i="11"/>
  <c r="I144" i="11"/>
  <c r="K143" i="11"/>
  <c r="L143" i="11" s="1"/>
  <c r="J143" i="11"/>
  <c r="I143" i="11"/>
  <c r="K142" i="11"/>
  <c r="J142" i="11"/>
  <c r="I142" i="11"/>
  <c r="L142" i="11" s="1"/>
  <c r="K141" i="11"/>
  <c r="J141" i="11"/>
  <c r="I141" i="11"/>
  <c r="L141" i="11" s="1"/>
  <c r="K140" i="11"/>
  <c r="J140" i="11"/>
  <c r="I140" i="11"/>
  <c r="K139" i="11"/>
  <c r="L139" i="11" s="1"/>
  <c r="J139" i="11"/>
  <c r="I139" i="11"/>
  <c r="L138" i="11"/>
  <c r="K138" i="11"/>
  <c r="J138" i="11"/>
  <c r="I138" i="11"/>
  <c r="L137" i="11"/>
  <c r="K137" i="11"/>
  <c r="J137" i="11"/>
  <c r="I137" i="11"/>
  <c r="L136" i="11"/>
  <c r="K136" i="11"/>
  <c r="J136" i="11"/>
  <c r="I136" i="11"/>
  <c r="K135" i="11"/>
  <c r="J135" i="11"/>
  <c r="I135" i="11"/>
  <c r="L135" i="11" s="1"/>
  <c r="K134" i="11"/>
  <c r="J134" i="11"/>
  <c r="I134" i="11"/>
  <c r="L134" i="11" s="1"/>
  <c r="K133" i="11"/>
  <c r="J133" i="11"/>
  <c r="I133" i="11"/>
  <c r="L133" i="11" s="1"/>
  <c r="K132" i="11"/>
  <c r="L132" i="11" s="1"/>
  <c r="J132" i="11"/>
  <c r="I132" i="11"/>
  <c r="K131" i="11"/>
  <c r="L131" i="11" s="1"/>
  <c r="J131" i="11"/>
  <c r="I131" i="11"/>
  <c r="K130" i="11"/>
  <c r="L130" i="11" s="1"/>
  <c r="J130" i="11"/>
  <c r="I130" i="11"/>
  <c r="K129" i="11"/>
  <c r="J129" i="11"/>
  <c r="I129" i="11"/>
  <c r="L129" i="11" s="1"/>
  <c r="K128" i="11"/>
  <c r="J128" i="11"/>
  <c r="I128" i="11"/>
  <c r="L128" i="11" s="1"/>
  <c r="L127" i="11"/>
  <c r="K127" i="11"/>
  <c r="J127" i="11"/>
  <c r="I127" i="11"/>
  <c r="K126" i="11"/>
  <c r="J126" i="11"/>
  <c r="I126" i="11"/>
  <c r="L126" i="11" s="1"/>
  <c r="K125" i="11"/>
  <c r="L125" i="11" s="1"/>
  <c r="J125" i="11"/>
  <c r="I125" i="11"/>
  <c r="K124" i="11"/>
  <c r="L124" i="11" s="1"/>
  <c r="J124" i="11"/>
  <c r="I124" i="11"/>
  <c r="K123" i="11"/>
  <c r="J123" i="11"/>
  <c r="I123" i="11"/>
  <c r="L123" i="11" s="1"/>
  <c r="K122" i="11"/>
  <c r="L122" i="11" s="1"/>
  <c r="J122" i="11"/>
  <c r="I122" i="11"/>
  <c r="K121" i="11"/>
  <c r="J121" i="11"/>
  <c r="I121" i="11"/>
  <c r="L121" i="11" s="1"/>
  <c r="K120" i="11"/>
  <c r="J120" i="11"/>
  <c r="I120" i="11"/>
  <c r="L120" i="11" s="1"/>
  <c r="K119" i="11"/>
  <c r="L119" i="11" s="1"/>
  <c r="J119" i="11"/>
  <c r="I119" i="11"/>
  <c r="K118" i="11"/>
  <c r="J118" i="11"/>
  <c r="I118" i="11"/>
  <c r="L118" i="11" s="1"/>
  <c r="K117" i="11"/>
  <c r="J117" i="11"/>
  <c r="I117" i="11"/>
  <c r="L117" i="11" s="1"/>
  <c r="L116" i="11"/>
  <c r="K116" i="11"/>
  <c r="J116" i="11"/>
  <c r="I116" i="11"/>
  <c r="K115" i="11"/>
  <c r="J115" i="11"/>
  <c r="I115" i="11"/>
  <c r="L115" i="11" s="1"/>
  <c r="K114" i="11"/>
  <c r="L114" i="11" s="1"/>
  <c r="J114" i="11"/>
  <c r="I114" i="11"/>
  <c r="K113" i="11"/>
  <c r="L113" i="11" s="1"/>
  <c r="J113" i="11"/>
  <c r="I113" i="11"/>
  <c r="L112" i="11"/>
  <c r="K112" i="11"/>
  <c r="J112" i="11"/>
  <c r="I112" i="11"/>
  <c r="K111" i="11"/>
  <c r="J111" i="11"/>
  <c r="I111" i="11"/>
  <c r="K110" i="11"/>
  <c r="L110" i="11" s="1"/>
  <c r="J110" i="11"/>
  <c r="I110" i="11"/>
  <c r="K109" i="11"/>
  <c r="J109" i="11"/>
  <c r="I109" i="11"/>
  <c r="L109" i="11" s="1"/>
  <c r="K108" i="11"/>
  <c r="J108" i="11"/>
  <c r="I108" i="11"/>
  <c r="L108" i="11" s="1"/>
  <c r="K107" i="11"/>
  <c r="L107" i="11" s="1"/>
  <c r="J107" i="11"/>
  <c r="I107" i="11"/>
  <c r="K106" i="11"/>
  <c r="L106" i="11" s="1"/>
  <c r="J106" i="11"/>
  <c r="I106" i="11"/>
  <c r="K105" i="11"/>
  <c r="J105" i="11"/>
  <c r="I105" i="11"/>
  <c r="K104" i="11"/>
  <c r="J104" i="11"/>
  <c r="I104" i="11"/>
  <c r="L104" i="11" s="1"/>
  <c r="L103" i="11"/>
  <c r="K103" i="11"/>
  <c r="J103" i="11"/>
  <c r="I103" i="11"/>
  <c r="K102" i="11"/>
  <c r="J102" i="11"/>
  <c r="I102" i="11"/>
  <c r="L102" i="11" s="1"/>
  <c r="L101" i="11"/>
  <c r="K101" i="11"/>
  <c r="J101" i="11"/>
  <c r="I101" i="11"/>
  <c r="K100" i="11"/>
  <c r="J100" i="11"/>
  <c r="I100" i="11"/>
  <c r="L100" i="11" s="1"/>
  <c r="K99" i="11"/>
  <c r="J99" i="11"/>
  <c r="I99" i="11"/>
  <c r="L99" i="11" s="1"/>
  <c r="K98" i="11"/>
  <c r="J98" i="11"/>
  <c r="I98" i="11"/>
  <c r="L98" i="11" s="1"/>
  <c r="K97" i="11"/>
  <c r="L97" i="11" s="1"/>
  <c r="J97" i="11"/>
  <c r="I97" i="11"/>
  <c r="K96" i="11"/>
  <c r="J96" i="11"/>
  <c r="I96" i="11"/>
  <c r="L96" i="11" s="1"/>
  <c r="K95" i="11"/>
  <c r="L95" i="11" s="1"/>
  <c r="J95" i="11"/>
  <c r="I95" i="11"/>
  <c r="K94" i="11"/>
  <c r="J94" i="11"/>
  <c r="I94" i="11"/>
  <c r="L94" i="11" s="1"/>
  <c r="K93" i="11"/>
  <c r="J93" i="11"/>
  <c r="I93" i="11"/>
  <c r="K92" i="11"/>
  <c r="J92" i="11"/>
  <c r="I92" i="11"/>
  <c r="L92" i="11" s="1"/>
  <c r="K91" i="11"/>
  <c r="J91" i="11"/>
  <c r="I91" i="11"/>
  <c r="L91" i="11" s="1"/>
  <c r="L90" i="11"/>
  <c r="K90" i="11"/>
  <c r="J90" i="11"/>
  <c r="I90" i="11"/>
  <c r="K89" i="11"/>
  <c r="L89" i="11" s="1"/>
  <c r="J89" i="11"/>
  <c r="I89" i="11"/>
  <c r="L88" i="11"/>
  <c r="K88" i="11"/>
  <c r="J88" i="11"/>
  <c r="I88" i="11"/>
  <c r="K87" i="11"/>
  <c r="J87" i="11"/>
  <c r="I87" i="11"/>
  <c r="L86" i="11"/>
  <c r="K86" i="11"/>
  <c r="J86" i="11"/>
  <c r="I86" i="11"/>
  <c r="K85" i="11"/>
  <c r="J85" i="11"/>
  <c r="I85" i="11"/>
  <c r="L85" i="11" s="1"/>
  <c r="K84" i="11"/>
  <c r="L84" i="11" s="1"/>
  <c r="J84" i="11"/>
  <c r="I84" i="11"/>
  <c r="L83" i="11"/>
  <c r="K83" i="11"/>
  <c r="J83" i="11"/>
  <c r="I83" i="11"/>
  <c r="K82" i="11"/>
  <c r="L82" i="11" s="1"/>
  <c r="J82" i="11"/>
  <c r="I82" i="11"/>
  <c r="K81" i="11"/>
  <c r="J81" i="11"/>
  <c r="I81" i="11"/>
  <c r="L81" i="11" s="1"/>
  <c r="L80" i="11"/>
  <c r="K80" i="11"/>
  <c r="J80" i="11"/>
  <c r="I80" i="11"/>
  <c r="K79" i="11"/>
  <c r="J79" i="11"/>
  <c r="I79" i="11"/>
  <c r="L79" i="11" s="1"/>
  <c r="K78" i="11"/>
  <c r="J78" i="11"/>
  <c r="I78" i="11"/>
  <c r="L78" i="11" s="1"/>
  <c r="L77" i="11"/>
  <c r="K77" i="11"/>
  <c r="J77" i="11"/>
  <c r="I77" i="11"/>
  <c r="K76" i="11"/>
  <c r="J76" i="11"/>
  <c r="I76" i="11"/>
  <c r="L76" i="11" s="1"/>
  <c r="K75" i="11"/>
  <c r="J75" i="11"/>
  <c r="I75" i="11"/>
  <c r="K74" i="11"/>
  <c r="L74" i="11" s="1"/>
  <c r="J74" i="11"/>
  <c r="I74" i="11"/>
  <c r="K73" i="11"/>
  <c r="J73" i="11"/>
  <c r="I73" i="11"/>
  <c r="L73" i="11" s="1"/>
  <c r="K72" i="11"/>
  <c r="J72" i="11"/>
  <c r="I72" i="11"/>
  <c r="L72" i="11" s="1"/>
  <c r="K71" i="11"/>
  <c r="L71" i="11" s="1"/>
  <c r="J71" i="11"/>
  <c r="I71" i="11"/>
  <c r="L70" i="11"/>
  <c r="K70" i="11"/>
  <c r="J70" i="11"/>
  <c r="I70" i="11"/>
  <c r="K69" i="11"/>
  <c r="J69" i="11"/>
  <c r="I69" i="11"/>
  <c r="L69" i="11" s="1"/>
  <c r="K68" i="11"/>
  <c r="J68" i="11"/>
  <c r="I68" i="11"/>
  <c r="L68" i="11" s="1"/>
  <c r="L67" i="11"/>
  <c r="K67" i="11"/>
  <c r="J67" i="11"/>
  <c r="I67" i="11"/>
  <c r="K66" i="11"/>
  <c r="J66" i="11"/>
  <c r="I66" i="11"/>
  <c r="L66" i="11" s="1"/>
  <c r="K65" i="11"/>
  <c r="L65" i="11" s="1"/>
  <c r="J65" i="11"/>
  <c r="I65" i="11"/>
  <c r="K64" i="11"/>
  <c r="J64" i="11"/>
  <c r="I64" i="11"/>
  <c r="L64" i="11" s="1"/>
  <c r="K63" i="11"/>
  <c r="J63" i="11"/>
  <c r="I63" i="11"/>
  <c r="L63" i="11" s="1"/>
  <c r="K62" i="11"/>
  <c r="L62" i="11" s="1"/>
  <c r="J62" i="11"/>
  <c r="I62" i="11"/>
  <c r="K61" i="11"/>
  <c r="L61" i="11" s="1"/>
  <c r="J61" i="11"/>
  <c r="I61" i="11"/>
  <c r="K60" i="11"/>
  <c r="J60" i="11"/>
  <c r="I60" i="11"/>
  <c r="L60" i="11" s="1"/>
  <c r="K59" i="11"/>
  <c r="L59" i="11" s="1"/>
  <c r="J59" i="11"/>
  <c r="I59" i="11"/>
  <c r="L58" i="11"/>
  <c r="K58" i="11"/>
  <c r="J58" i="11"/>
  <c r="I58" i="11"/>
  <c r="K57" i="11"/>
  <c r="J57" i="11"/>
  <c r="I57" i="11"/>
  <c r="L57" i="11" s="1"/>
  <c r="K56" i="11"/>
  <c r="J56" i="11"/>
  <c r="I56" i="11"/>
  <c r="L56" i="11" s="1"/>
  <c r="K55" i="11"/>
  <c r="L55" i="11" s="1"/>
  <c r="J55" i="11"/>
  <c r="I55" i="11"/>
  <c r="K54" i="11"/>
  <c r="J54" i="11"/>
  <c r="I54" i="11"/>
  <c r="L54" i="11" s="1"/>
  <c r="K53" i="11"/>
  <c r="L53" i="11" s="1"/>
  <c r="J53" i="11"/>
  <c r="I53" i="11"/>
  <c r="K52" i="11"/>
  <c r="L52" i="11" s="1"/>
  <c r="J52" i="11"/>
  <c r="I52" i="11"/>
  <c r="K51" i="11"/>
  <c r="J51" i="11"/>
  <c r="I51" i="11"/>
  <c r="L51" i="11" s="1"/>
  <c r="K50" i="11"/>
  <c r="J50" i="11"/>
  <c r="I50" i="11"/>
  <c r="L50" i="11" s="1"/>
  <c r="K49" i="11"/>
  <c r="J49" i="11"/>
  <c r="I49" i="11"/>
  <c r="L49" i="11" s="1"/>
  <c r="K48" i="11"/>
  <c r="J48" i="11"/>
  <c r="I48" i="11"/>
  <c r="L48" i="11" s="1"/>
  <c r="K47" i="11"/>
  <c r="L47" i="11" s="1"/>
  <c r="J47" i="11"/>
  <c r="I47" i="11"/>
  <c r="K46" i="11"/>
  <c r="J46" i="11"/>
  <c r="I46" i="11"/>
  <c r="L46" i="11" s="1"/>
  <c r="K45" i="11"/>
  <c r="J45" i="11"/>
  <c r="I45" i="11"/>
  <c r="L45" i="11" s="1"/>
  <c r="K44" i="11"/>
  <c r="J44" i="11"/>
  <c r="I44" i="11"/>
  <c r="L44" i="11" s="1"/>
  <c r="K43" i="11"/>
  <c r="J43" i="11"/>
  <c r="I43" i="11"/>
  <c r="L43" i="11" s="1"/>
  <c r="L42" i="11"/>
  <c r="K42" i="11"/>
  <c r="J42" i="11"/>
  <c r="I42" i="11"/>
  <c r="K41" i="11"/>
  <c r="L41" i="11" s="1"/>
  <c r="J41" i="11"/>
  <c r="I41" i="11"/>
  <c r="K40" i="11"/>
  <c r="J40" i="11"/>
  <c r="I40" i="11"/>
  <c r="L40" i="11" s="1"/>
  <c r="K39" i="11"/>
  <c r="J39" i="11"/>
  <c r="I39" i="11"/>
  <c r="L39" i="11" s="1"/>
  <c r="K38" i="11"/>
  <c r="L38" i="11" s="1"/>
  <c r="J38" i="11"/>
  <c r="I38" i="11"/>
  <c r="L37" i="11"/>
  <c r="K37" i="11"/>
  <c r="J37" i="11"/>
  <c r="I37" i="11"/>
  <c r="K36" i="11"/>
  <c r="L36" i="11" s="1"/>
  <c r="J36" i="11"/>
  <c r="I36" i="11"/>
  <c r="L35" i="11"/>
  <c r="K35" i="11"/>
  <c r="J35" i="11"/>
  <c r="I35" i="11"/>
  <c r="L34" i="11"/>
  <c r="K34" i="11"/>
  <c r="J34" i="11"/>
  <c r="I34" i="11"/>
  <c r="K33" i="11"/>
  <c r="J33" i="11"/>
  <c r="I33" i="11"/>
  <c r="L33" i="11" s="1"/>
  <c r="K32" i="11"/>
  <c r="L32" i="11" s="1"/>
  <c r="J32" i="11"/>
  <c r="I32" i="11"/>
  <c r="K31" i="11"/>
  <c r="J31" i="11"/>
  <c r="I31" i="11"/>
  <c r="L31" i="11" s="1"/>
  <c r="K30" i="11"/>
  <c r="L30" i="11" s="1"/>
  <c r="J30" i="11"/>
  <c r="I30" i="11"/>
  <c r="K29" i="11"/>
  <c r="L29" i="11" s="1"/>
  <c r="J29" i="11"/>
  <c r="I29" i="11"/>
  <c r="K28" i="11"/>
  <c r="J28" i="11"/>
  <c r="I28" i="11"/>
  <c r="K27" i="11"/>
  <c r="J27" i="11"/>
  <c r="I27" i="11"/>
  <c r="L27" i="11" s="1"/>
  <c r="K26" i="11"/>
  <c r="J26" i="11"/>
  <c r="I26" i="11"/>
  <c r="L26" i="11" s="1"/>
  <c r="K25" i="11"/>
  <c r="L25" i="11" s="1"/>
  <c r="J25" i="11"/>
  <c r="I25" i="11"/>
  <c r="L24" i="11"/>
  <c r="K24" i="11"/>
  <c r="J24" i="11"/>
  <c r="I24" i="11"/>
  <c r="K23" i="11"/>
  <c r="L23" i="11" s="1"/>
  <c r="J23" i="11"/>
  <c r="I23" i="11"/>
  <c r="K22" i="11"/>
  <c r="J22" i="11"/>
  <c r="I22" i="11"/>
  <c r="L22" i="11" s="1"/>
  <c r="K21" i="11"/>
  <c r="J21" i="11"/>
  <c r="I21" i="11"/>
  <c r="L21" i="11" s="1"/>
  <c r="K20" i="11"/>
  <c r="J20" i="11"/>
  <c r="I20" i="11"/>
  <c r="L20" i="11" s="1"/>
  <c r="K19" i="11"/>
  <c r="J19" i="11"/>
  <c r="I19" i="11"/>
  <c r="L19" i="11" s="1"/>
  <c r="L18" i="11"/>
  <c r="K18" i="11"/>
  <c r="J18" i="11"/>
  <c r="I18" i="11"/>
  <c r="L17" i="11"/>
  <c r="K17" i="11"/>
  <c r="J17" i="11"/>
  <c r="I17" i="11"/>
  <c r="L16" i="11"/>
  <c r="K16" i="11"/>
  <c r="J16" i="11"/>
  <c r="I16" i="11"/>
  <c r="K15" i="11"/>
  <c r="J15" i="11"/>
  <c r="I15" i="11"/>
  <c r="L14" i="11"/>
  <c r="K14" i="11"/>
  <c r="J14" i="11"/>
  <c r="I14" i="11"/>
  <c r="K13" i="11"/>
  <c r="J13" i="11"/>
  <c r="I13" i="11"/>
  <c r="L13" i="11" s="1"/>
  <c r="K12" i="11"/>
  <c r="L12" i="11" s="1"/>
  <c r="J12" i="11"/>
  <c r="I12" i="11"/>
  <c r="L11" i="11"/>
  <c r="K11" i="11"/>
  <c r="J11" i="11"/>
  <c r="I11" i="11"/>
  <c r="K10" i="11"/>
  <c r="L10" i="11" s="1"/>
  <c r="J10" i="11"/>
  <c r="I10" i="11"/>
  <c r="K9" i="11"/>
  <c r="J9" i="11"/>
  <c r="I9" i="11"/>
  <c r="L9" i="11" s="1"/>
  <c r="K8" i="11"/>
  <c r="L8" i="11" s="1"/>
  <c r="J8" i="11"/>
  <c r="I8" i="11"/>
  <c r="K7" i="11"/>
  <c r="J7" i="11"/>
  <c r="I7" i="11"/>
  <c r="L7" i="11" s="1"/>
  <c r="K6" i="11"/>
  <c r="L6" i="11" s="1"/>
  <c r="J6" i="11"/>
  <c r="I6" i="11"/>
  <c r="K5" i="11"/>
  <c r="L5" i="11" s="1"/>
  <c r="J5" i="11"/>
  <c r="I5" i="11"/>
  <c r="K4" i="11"/>
  <c r="J4" i="11"/>
  <c r="I4" i="11"/>
  <c r="L4" i="11" s="1"/>
  <c r="K3" i="11"/>
  <c r="J3" i="11"/>
  <c r="I3" i="11"/>
  <c r="L3" i="11" s="1"/>
  <c r="L1" i="11"/>
  <c r="C42" i="10"/>
  <c r="C41" i="10"/>
  <c r="C43" i="10" s="1"/>
  <c r="C35" i="10"/>
  <c r="C34" i="10"/>
  <c r="C33" i="10"/>
  <c r="C32" i="10"/>
  <c r="C26" i="10"/>
  <c r="C31" i="10" s="1"/>
  <c r="C23" i="10"/>
  <c r="C25" i="10" s="1"/>
  <c r="C30" i="10" s="1"/>
  <c r="C36" i="10" s="1"/>
  <c r="C22" i="10"/>
  <c r="C24" i="10" s="1"/>
  <c r="C29" i="10" s="1"/>
  <c r="C21" i="10"/>
  <c r="C20" i="10"/>
  <c r="C19" i="10"/>
  <c r="E61" i="9"/>
  <c r="E58" i="9"/>
  <c r="E55" i="9"/>
  <c r="F47" i="9"/>
  <c r="F46" i="9"/>
  <c r="F45" i="9"/>
  <c r="F44" i="9"/>
  <c r="E44" i="9"/>
  <c r="E43" i="9"/>
  <c r="F43" i="9" s="1"/>
  <c r="F42" i="9"/>
  <c r="E42" i="9"/>
  <c r="C38" i="9"/>
  <c r="F37" i="9"/>
  <c r="E37" i="9"/>
  <c r="E36" i="9"/>
  <c r="F36" i="9" s="1"/>
  <c r="F35" i="9"/>
  <c r="E35" i="9"/>
  <c r="E34" i="9"/>
  <c r="F34" i="9" s="1"/>
  <c r="E33" i="9"/>
  <c r="F33" i="9" s="1"/>
  <c r="E32" i="9"/>
  <c r="F32" i="9" s="1"/>
  <c r="F31" i="9"/>
  <c r="E31" i="9"/>
  <c r="F30" i="9"/>
  <c r="E30" i="9"/>
  <c r="F29" i="9"/>
  <c r="E29" i="9"/>
  <c r="F28" i="9"/>
  <c r="E28" i="9"/>
  <c r="F27" i="9"/>
  <c r="E27" i="9"/>
  <c r="E22" i="9"/>
  <c r="F20" i="9"/>
  <c r="F19" i="9"/>
  <c r="F18" i="9"/>
  <c r="F17" i="9"/>
  <c r="F16" i="9"/>
  <c r="F21" i="9" s="1"/>
  <c r="F15" i="9"/>
  <c r="F14" i="9"/>
  <c r="F13" i="9"/>
  <c r="F12" i="9"/>
  <c r="F11" i="9"/>
  <c r="F10" i="9"/>
  <c r="F9" i="9"/>
  <c r="C5" i="9"/>
  <c r="C4" i="9"/>
  <c r="C3" i="9"/>
  <c r="F2" i="9"/>
  <c r="DC45" i="8"/>
  <c r="DB45" i="8"/>
  <c r="DA45" i="8"/>
  <c r="CZ45" i="8"/>
  <c r="CY45" i="8"/>
  <c r="CX45" i="8"/>
  <c r="CW45" i="8"/>
  <c r="CV45" i="8"/>
  <c r="CU45" i="8"/>
  <c r="CT45" i="8"/>
  <c r="CS45" i="8"/>
  <c r="CR45" i="8"/>
  <c r="CQ45" i="8"/>
  <c r="CP45" i="8"/>
  <c r="CN45" i="8"/>
  <c r="CM45" i="8"/>
  <c r="CL45" i="8"/>
  <c r="CK45" i="8"/>
  <c r="CG45" i="8"/>
  <c r="CF45" i="8"/>
  <c r="CE45" i="8"/>
  <c r="CD45" i="8"/>
  <c r="CC45" i="8"/>
  <c r="CB45" i="8"/>
  <c r="CA45" i="8"/>
  <c r="BZ45" i="8"/>
  <c r="BY45" i="8"/>
  <c r="BX45" i="8"/>
  <c r="BW45" i="8"/>
  <c r="BV45" i="8"/>
  <c r="BU45" i="8"/>
  <c r="BT45" i="8"/>
  <c r="BS45" i="8"/>
  <c r="BR45" i="8"/>
  <c r="BP45" i="8"/>
  <c r="BO45" i="8"/>
  <c r="BN45" i="8"/>
  <c r="BM45" i="8"/>
  <c r="BK45" i="8"/>
  <c r="BJ45" i="8"/>
  <c r="BG45" i="8"/>
  <c r="BF45" i="8"/>
  <c r="BE45" i="8"/>
  <c r="BD45" i="8"/>
  <c r="BC45" i="8"/>
  <c r="BB45" i="8"/>
  <c r="BA45" i="8"/>
  <c r="AZ45" i="8"/>
  <c r="AY45" i="8"/>
  <c r="AX45" i="8"/>
  <c r="AW45" i="8"/>
  <c r="AV45" i="8"/>
  <c r="AU45" i="8"/>
  <c r="AT45" i="8"/>
  <c r="AR45" i="8"/>
  <c r="AQ45" i="8"/>
  <c r="AP45" i="8"/>
  <c r="AO45" i="8"/>
  <c r="AM45" i="8"/>
  <c r="AL45" i="8"/>
  <c r="AK45" i="8"/>
  <c r="AJ45" i="8"/>
  <c r="AG45" i="8"/>
  <c r="AF45" i="8"/>
  <c r="AE45" i="8"/>
  <c r="AD45" i="8"/>
  <c r="AC45" i="8"/>
  <c r="AB45" i="8"/>
  <c r="AA45" i="8"/>
  <c r="Z45" i="8"/>
  <c r="Y45" i="8"/>
  <c r="X45" i="8"/>
  <c r="W45" i="8"/>
  <c r="V45" i="8"/>
  <c r="T45" i="8"/>
  <c r="S45" i="8"/>
  <c r="R45" i="8"/>
  <c r="Q45" i="8"/>
  <c r="O45" i="8"/>
  <c r="N45" i="8"/>
  <c r="M45" i="8"/>
  <c r="L45" i="8"/>
  <c r="K45" i="8"/>
  <c r="J45" i="8"/>
  <c r="G45" i="8"/>
  <c r="CW44" i="8"/>
  <c r="CV44" i="8"/>
  <c r="CU44" i="8"/>
  <c r="CT44" i="8"/>
  <c r="CR44" i="8"/>
  <c r="CQ44" i="8"/>
  <c r="CP44" i="8"/>
  <c r="CO44" i="8"/>
  <c r="CJ44" i="8"/>
  <c r="CI44" i="8"/>
  <c r="CH44" i="8"/>
  <c r="CG44" i="8"/>
  <c r="CF44" i="8"/>
  <c r="CC44" i="8"/>
  <c r="CB44" i="8"/>
  <c r="CA44" i="8"/>
  <c r="BZ44" i="8"/>
  <c r="BY44" i="8"/>
  <c r="BQ44" i="8"/>
  <c r="BO44" i="8"/>
  <c r="BN44" i="8"/>
  <c r="BM44" i="8"/>
  <c r="BL44" i="8"/>
  <c r="BH44" i="8"/>
  <c r="BG44" i="8"/>
  <c r="BF44" i="8"/>
  <c r="BC44" i="8"/>
  <c r="BB44" i="8"/>
  <c r="BA44" i="8"/>
  <c r="AZ44" i="8"/>
  <c r="AY44" i="8"/>
  <c r="AX44" i="8"/>
  <c r="AV44" i="8"/>
  <c r="AU44" i="8"/>
  <c r="AT44" i="8"/>
  <c r="AS44" i="8"/>
  <c r="AK44" i="8"/>
  <c r="AJ44" i="8"/>
  <c r="AF44" i="8"/>
  <c r="AC44" i="8"/>
  <c r="AB44" i="8"/>
  <c r="AA44" i="8"/>
  <c r="Z44" i="8"/>
  <c r="X44" i="8"/>
  <c r="W44" i="8"/>
  <c r="V44" i="8"/>
  <c r="U44" i="8"/>
  <c r="S44" i="8"/>
  <c r="R44" i="8"/>
  <c r="Q44" i="8"/>
  <c r="P44" i="8"/>
  <c r="O44" i="8"/>
  <c r="N44" i="8"/>
  <c r="M44" i="8"/>
  <c r="G44" i="8"/>
  <c r="CX44" i="8" s="1"/>
  <c r="CV43" i="8"/>
  <c r="CU43" i="8"/>
  <c r="CT43" i="8"/>
  <c r="CS43" i="8"/>
  <c r="CQ43" i="8"/>
  <c r="CP43" i="8"/>
  <c r="CO43" i="8"/>
  <c r="CN43" i="8"/>
  <c r="CM43" i="8"/>
  <c r="CL43" i="8"/>
  <c r="CK43" i="8"/>
  <c r="CJ43" i="8"/>
  <c r="CI43" i="8"/>
  <c r="CH43" i="8"/>
  <c r="CG43" i="8"/>
  <c r="CF43" i="8"/>
  <c r="CE43" i="8"/>
  <c r="CD43" i="8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AX43" i="8"/>
  <c r="AW43" i="8"/>
  <c r="AR43" i="8"/>
  <c r="AK43" i="8"/>
  <c r="AJ43" i="8"/>
  <c r="AI43" i="8"/>
  <c r="AH43" i="8"/>
  <c r="AG43" i="8"/>
  <c r="AF43" i="8"/>
  <c r="AE43" i="8"/>
  <c r="AD43" i="8"/>
  <c r="AB43" i="8"/>
  <c r="AA43" i="8"/>
  <c r="W43" i="8"/>
  <c r="V43" i="8"/>
  <c r="U43" i="8"/>
  <c r="T43" i="8"/>
  <c r="P43" i="8"/>
  <c r="O43" i="8"/>
  <c r="N43" i="8"/>
  <c r="M43" i="8"/>
  <c r="I43" i="8"/>
  <c r="G43" i="8"/>
  <c r="CX43" i="8" s="1"/>
  <c r="DB42" i="8"/>
  <c r="CZ42" i="8"/>
  <c r="CY42" i="8"/>
  <c r="CS42" i="8"/>
  <c r="CR42" i="8"/>
  <c r="CQ42" i="8"/>
  <c r="CO42" i="8"/>
  <c r="CN42" i="8"/>
  <c r="CJ42" i="8"/>
  <c r="CI42" i="8"/>
  <c r="CH42" i="8"/>
  <c r="CG42" i="8"/>
  <c r="CF42" i="8"/>
  <c r="BL42" i="8"/>
  <c r="BG42" i="8"/>
  <c r="BD42" i="8"/>
  <c r="BC42" i="8"/>
  <c r="BB42" i="8"/>
  <c r="BA42" i="8"/>
  <c r="AY42" i="8"/>
  <c r="AX42" i="8"/>
  <c r="AW42" i="8"/>
  <c r="AN42" i="8"/>
  <c r="AM42" i="8"/>
  <c r="AL42" i="8"/>
  <c r="AE42" i="8"/>
  <c r="AD42" i="8"/>
  <c r="AC42" i="8"/>
  <c r="Z42" i="8"/>
  <c r="P42" i="8"/>
  <c r="I42" i="8"/>
  <c r="G42" i="8"/>
  <c r="CY41" i="8"/>
  <c r="CX41" i="8"/>
  <c r="CV41" i="8"/>
  <c r="CU41" i="8"/>
  <c r="CT41" i="8"/>
  <c r="CS41" i="8"/>
  <c r="CP41" i="8"/>
  <c r="CO41" i="8"/>
  <c r="CN41" i="8"/>
  <c r="CM41" i="8"/>
  <c r="CL41" i="8"/>
  <c r="CK41" i="8"/>
  <c r="CJ41" i="8"/>
  <c r="CI41" i="8"/>
  <c r="CH41" i="8"/>
  <c r="BW41" i="8"/>
  <c r="BV41" i="8"/>
  <c r="BU41" i="8"/>
  <c r="BT41" i="8"/>
  <c r="BP41" i="8"/>
  <c r="BO41" i="8"/>
  <c r="BN41" i="8"/>
  <c r="BM41" i="8"/>
  <c r="BL41" i="8"/>
  <c r="BK41" i="8"/>
  <c r="BJ41" i="8"/>
  <c r="BH41" i="8"/>
  <c r="BG41" i="8"/>
  <c r="BF41" i="8"/>
  <c r="BE41" i="8"/>
  <c r="BD41" i="8"/>
  <c r="BC41" i="8"/>
  <c r="AQ41" i="8"/>
  <c r="AP41" i="8"/>
  <c r="AO41" i="8"/>
  <c r="AN41" i="8"/>
  <c r="AL41" i="8"/>
  <c r="AJ41" i="8"/>
  <c r="AI41" i="8"/>
  <c r="AH41" i="8"/>
  <c r="AG41" i="8"/>
  <c r="AF41" i="8"/>
  <c r="AE41" i="8"/>
  <c r="AD41" i="8"/>
  <c r="AC41" i="8"/>
  <c r="AB41" i="8"/>
  <c r="AA41" i="8"/>
  <c r="Z41" i="8"/>
  <c r="V41" i="8"/>
  <c r="L41" i="8"/>
  <c r="K41" i="8"/>
  <c r="J41" i="8"/>
  <c r="I41" i="8"/>
  <c r="G41" i="8"/>
  <c r="DC40" i="8"/>
  <c r="DB40" i="8"/>
  <c r="DA40" i="8"/>
  <c r="CZ40" i="8"/>
  <c r="CY40" i="8"/>
  <c r="CX40" i="8"/>
  <c r="CV40" i="8"/>
  <c r="BN40" i="8"/>
  <c r="BL40" i="8"/>
  <c r="BK40" i="8"/>
  <c r="BJ40" i="8"/>
  <c r="BI40" i="8"/>
  <c r="BH40" i="8"/>
  <c r="BG40" i="8"/>
  <c r="AY40" i="8"/>
  <c r="V40" i="8"/>
  <c r="S40" i="8"/>
  <c r="R40" i="8"/>
  <c r="P40" i="8"/>
  <c r="K40" i="8"/>
  <c r="J40" i="8"/>
  <c r="I40" i="8"/>
  <c r="G40" i="8"/>
  <c r="DC39" i="8"/>
  <c r="CU39" i="8"/>
  <c r="CF39" i="8"/>
  <c r="CE39" i="8"/>
  <c r="CC39" i="8"/>
  <c r="CB39" i="8"/>
  <c r="CA39" i="8"/>
  <c r="BZ39" i="8"/>
  <c r="BY39" i="8"/>
  <c r="BX39" i="8"/>
  <c r="BW39" i="8"/>
  <c r="BV39" i="8"/>
  <c r="BU39" i="8"/>
  <c r="BT39" i="8"/>
  <c r="BP39" i="8"/>
  <c r="BO39" i="8"/>
  <c r="AW39" i="8"/>
  <c r="AQ39" i="8"/>
  <c r="AP39" i="8"/>
  <c r="AO39" i="8"/>
  <c r="AN39" i="8"/>
  <c r="AM39" i="8"/>
  <c r="AL39" i="8"/>
  <c r="AK39" i="8"/>
  <c r="AJ39" i="8"/>
  <c r="Z39" i="8"/>
  <c r="Y39" i="8"/>
  <c r="X39" i="8"/>
  <c r="W39" i="8"/>
  <c r="R39" i="8"/>
  <c r="Q39" i="8"/>
  <c r="I39" i="8"/>
  <c r="G39" i="8"/>
  <c r="CJ39" i="8" s="1"/>
  <c r="DC38" i="8"/>
  <c r="CY38" i="8"/>
  <c r="CX38" i="8"/>
  <c r="CV38" i="8"/>
  <c r="CU38" i="8"/>
  <c r="CT38" i="8"/>
  <c r="CR38" i="8"/>
  <c r="CO38" i="8"/>
  <c r="CN38" i="8"/>
  <c r="CM38" i="8"/>
  <c r="CL38" i="8"/>
  <c r="CK38" i="8"/>
  <c r="CJ38" i="8"/>
  <c r="CI38" i="8"/>
  <c r="CH38" i="8"/>
  <c r="CG38" i="8"/>
  <c r="CF38" i="8"/>
  <c r="CE38" i="8"/>
  <c r="CD38" i="8"/>
  <c r="CC38" i="8"/>
  <c r="CB38" i="8"/>
  <c r="BX38" i="8"/>
  <c r="BW38" i="8"/>
  <c r="BV38" i="8"/>
  <c r="BT38" i="8"/>
  <c r="BS38" i="8"/>
  <c r="BO38" i="8"/>
  <c r="BN38" i="8"/>
  <c r="BM38" i="8"/>
  <c r="BL38" i="8"/>
  <c r="BK38" i="8"/>
  <c r="BJ38" i="8"/>
  <c r="BI38" i="8"/>
  <c r="BH38" i="8"/>
  <c r="BG38" i="8"/>
  <c r="BF38" i="8"/>
  <c r="BE38" i="8"/>
  <c r="BD38" i="8"/>
  <c r="BC38" i="8"/>
  <c r="BB38" i="8"/>
  <c r="BA38" i="8"/>
  <c r="AV38" i="8"/>
  <c r="AU38" i="8"/>
  <c r="AT38" i="8"/>
  <c r="AQ38" i="8"/>
  <c r="AP38" i="8"/>
  <c r="AO38" i="8"/>
  <c r="AN38" i="8"/>
  <c r="AM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U38" i="8"/>
  <c r="R38" i="8"/>
  <c r="Q38" i="8"/>
  <c r="P38" i="8"/>
  <c r="O38" i="8"/>
  <c r="N38" i="8"/>
  <c r="M38" i="8"/>
  <c r="L38" i="8"/>
  <c r="K38" i="8"/>
  <c r="J38" i="8"/>
  <c r="I38" i="8"/>
  <c r="G38" i="8"/>
  <c r="DA37" i="8"/>
  <c r="CY37" i="8"/>
  <c r="CX37" i="8"/>
  <c r="CV37" i="8"/>
  <c r="CU37" i="8"/>
  <c r="CT37" i="8"/>
  <c r="CN37" i="8"/>
  <c r="CM37" i="8"/>
  <c r="CL37" i="8"/>
  <c r="CK37" i="8"/>
  <c r="CJ37" i="8"/>
  <c r="CI37" i="8"/>
  <c r="CH37" i="8"/>
  <c r="CG37" i="8"/>
  <c r="CF37" i="8"/>
  <c r="CE37" i="8"/>
  <c r="CD37" i="8"/>
  <c r="CC37" i="8"/>
  <c r="CB37" i="8"/>
  <c r="BV37" i="8"/>
  <c r="BT37" i="8"/>
  <c r="BS37" i="8"/>
  <c r="BM37" i="8"/>
  <c r="BL37" i="8"/>
  <c r="BK37" i="8"/>
  <c r="BJ37" i="8"/>
  <c r="BI37" i="8"/>
  <c r="BH37" i="8"/>
  <c r="BG37" i="8"/>
  <c r="BF37" i="8"/>
  <c r="BE37" i="8"/>
  <c r="BD37" i="8"/>
  <c r="BC37" i="8"/>
  <c r="BB37" i="8"/>
  <c r="AZ37" i="8"/>
  <c r="AY37" i="8"/>
  <c r="AX37" i="8"/>
  <c r="AW37" i="8"/>
  <c r="AP37" i="8"/>
  <c r="AK37" i="8"/>
  <c r="AJ37" i="8"/>
  <c r="AI37" i="8"/>
  <c r="AH37" i="8"/>
  <c r="AG37" i="8"/>
  <c r="AF37" i="8"/>
  <c r="AE37" i="8"/>
  <c r="AD37" i="8"/>
  <c r="AB37" i="8"/>
  <c r="AA37" i="8"/>
  <c r="Z37" i="8"/>
  <c r="Y37" i="8"/>
  <c r="X37" i="8"/>
  <c r="W37" i="8"/>
  <c r="V37" i="8"/>
  <c r="U37" i="8"/>
  <c r="R37" i="8"/>
  <c r="Q37" i="8"/>
  <c r="J37" i="8"/>
  <c r="I37" i="8"/>
  <c r="G37" i="8"/>
  <c r="DC36" i="8"/>
  <c r="DB36" i="8"/>
  <c r="CU36" i="8"/>
  <c r="CR36" i="8"/>
  <c r="CO36" i="8"/>
  <c r="CN36" i="8"/>
  <c r="CM36" i="8"/>
  <c r="CL36" i="8"/>
  <c r="CK36" i="8"/>
  <c r="CJ36" i="8"/>
  <c r="CF36" i="8"/>
  <c r="BX36" i="8"/>
  <c r="BW36" i="8"/>
  <c r="BV36" i="8"/>
  <c r="BU36" i="8"/>
  <c r="BS36" i="8"/>
  <c r="BP36" i="8"/>
  <c r="BO36" i="8"/>
  <c r="BN36" i="8"/>
  <c r="BM36" i="8"/>
  <c r="BD36" i="8"/>
  <c r="BA36" i="8"/>
  <c r="AT36" i="8"/>
  <c r="AQ36" i="8"/>
  <c r="AP36" i="8"/>
  <c r="AO36" i="8"/>
  <c r="AM36" i="8"/>
  <c r="AL36" i="8"/>
  <c r="AK36" i="8"/>
  <c r="AJ36" i="8"/>
  <c r="AI36" i="8"/>
  <c r="AH36" i="8"/>
  <c r="AC36" i="8"/>
  <c r="AB36" i="8"/>
  <c r="AA36" i="8"/>
  <c r="Z36" i="8"/>
  <c r="Y36" i="8"/>
  <c r="X36" i="8"/>
  <c r="K36" i="8"/>
  <c r="G36" i="8"/>
  <c r="CS36" i="8" s="1"/>
  <c r="CO35" i="8"/>
  <c r="CN35" i="8"/>
  <c r="CM35" i="8"/>
  <c r="CE35" i="8"/>
  <c r="CD35" i="8"/>
  <c r="CC35" i="8"/>
  <c r="CB35" i="8"/>
  <c r="BW35" i="8"/>
  <c r="BV35" i="8"/>
  <c r="AQ35" i="8"/>
  <c r="AP35" i="8"/>
  <c r="AO35" i="8"/>
  <c r="AN35" i="8"/>
  <c r="AM35" i="8"/>
  <c r="AL35" i="8"/>
  <c r="AK35" i="8"/>
  <c r="AJ35" i="8"/>
  <c r="AI35" i="8"/>
  <c r="G35" i="8"/>
  <c r="DC34" i="8"/>
  <c r="DB34" i="8"/>
  <c r="DA34" i="8"/>
  <c r="CZ34" i="8"/>
  <c r="CY34" i="8"/>
  <c r="CX34" i="8"/>
  <c r="CW34" i="8"/>
  <c r="CP34" i="8"/>
  <c r="CO34" i="8"/>
  <c r="CN34" i="8"/>
  <c r="CM34" i="8"/>
  <c r="CL34" i="8"/>
  <c r="CK34" i="8"/>
  <c r="CJ34" i="8"/>
  <c r="CI34" i="8"/>
  <c r="CH34" i="8"/>
  <c r="CG34" i="8"/>
  <c r="CF34" i="8"/>
  <c r="CE34" i="8"/>
  <c r="CD34" i="8"/>
  <c r="CC34" i="8"/>
  <c r="CB34" i="8"/>
  <c r="CA34" i="8"/>
  <c r="BZ34" i="8"/>
  <c r="BY34" i="8"/>
  <c r="BX34" i="8"/>
  <c r="BW34" i="8"/>
  <c r="BV34" i="8"/>
  <c r="BP34" i="8"/>
  <c r="BO34" i="8"/>
  <c r="BM34" i="8"/>
  <c r="BL34" i="8"/>
  <c r="BK34" i="8"/>
  <c r="BJ34" i="8"/>
  <c r="BI34" i="8"/>
  <c r="BH34" i="8"/>
  <c r="BG34" i="8"/>
  <c r="BF34" i="8"/>
  <c r="BE34" i="8"/>
  <c r="BD34" i="8"/>
  <c r="BC34" i="8"/>
  <c r="BB34" i="8"/>
  <c r="BA34" i="8"/>
  <c r="AZ34" i="8"/>
  <c r="AY34" i="8"/>
  <c r="AX34" i="8"/>
  <c r="AU34" i="8"/>
  <c r="AT34" i="8"/>
  <c r="AP34" i="8"/>
  <c r="AO34" i="8"/>
  <c r="AN34" i="8"/>
  <c r="AM34" i="8"/>
  <c r="AL34" i="8"/>
  <c r="AJ34" i="8"/>
  <c r="AI34" i="8"/>
  <c r="AH34" i="8"/>
  <c r="AG34" i="8"/>
  <c r="AF34" i="8"/>
  <c r="AE34" i="8"/>
  <c r="AD34" i="8"/>
  <c r="AC34" i="8"/>
  <c r="AB34" i="8"/>
  <c r="AA34" i="8"/>
  <c r="Z34" i="8"/>
  <c r="W34" i="8"/>
  <c r="V34" i="8"/>
  <c r="U34" i="8"/>
  <c r="T34" i="8"/>
  <c r="P34" i="8"/>
  <c r="O34" i="8"/>
  <c r="N34" i="8"/>
  <c r="M34" i="8"/>
  <c r="L34" i="8"/>
  <c r="K34" i="8"/>
  <c r="J34" i="8"/>
  <c r="I34" i="8"/>
  <c r="G34" i="8"/>
  <c r="CY33" i="8"/>
  <c r="CX33" i="8"/>
  <c r="CU33" i="8"/>
  <c r="CT33" i="8"/>
  <c r="CL33" i="8"/>
  <c r="CI33" i="8"/>
  <c r="CH33" i="8"/>
  <c r="CG33" i="8"/>
  <c r="CF33" i="8"/>
  <c r="CE33" i="8"/>
  <c r="CD33" i="8"/>
  <c r="CC33" i="8"/>
  <c r="BT33" i="8"/>
  <c r="BS33" i="8"/>
  <c r="BR33" i="8"/>
  <c r="BQ33" i="8"/>
  <c r="BP33" i="8"/>
  <c r="BL33" i="8"/>
  <c r="BK33" i="8"/>
  <c r="BJ33" i="8"/>
  <c r="BI33" i="8"/>
  <c r="BH33" i="8"/>
  <c r="BC33" i="8"/>
  <c r="AX33" i="8"/>
  <c r="AQ33" i="8"/>
  <c r="AP33" i="8"/>
  <c r="AL33" i="8"/>
  <c r="AK33" i="8"/>
  <c r="AJ33" i="8"/>
  <c r="AI33" i="8"/>
  <c r="AH33" i="8"/>
  <c r="AG33" i="8"/>
  <c r="AF33" i="8"/>
  <c r="AE33" i="8"/>
  <c r="AD33" i="8"/>
  <c r="AA33" i="8"/>
  <c r="Z33" i="8"/>
  <c r="Y33" i="8"/>
  <c r="X33" i="8"/>
  <c r="W33" i="8"/>
  <c r="I33" i="8"/>
  <c r="G33" i="8"/>
  <c r="CJ33" i="8" s="1"/>
  <c r="DC32" i="8"/>
  <c r="DB32" i="8"/>
  <c r="CY32" i="8"/>
  <c r="CX32" i="8"/>
  <c r="CW32" i="8"/>
  <c r="CV32" i="8"/>
  <c r="CU32" i="8"/>
  <c r="CT32" i="8"/>
  <c r="CS32" i="8"/>
  <c r="CR32" i="8"/>
  <c r="CQ32" i="8"/>
  <c r="CP32" i="8"/>
  <c r="CO32" i="8"/>
  <c r="CN32" i="8"/>
  <c r="CM32" i="8"/>
  <c r="CL32" i="8"/>
  <c r="CK32" i="8"/>
  <c r="CJ32" i="8"/>
  <c r="CI32" i="8"/>
  <c r="CH32" i="8"/>
  <c r="CG32" i="8"/>
  <c r="CF32" i="8"/>
  <c r="CE32" i="8"/>
  <c r="CD32" i="8"/>
  <c r="CA32" i="8"/>
  <c r="BZ32" i="8"/>
  <c r="BY32" i="8"/>
  <c r="BX32" i="8"/>
  <c r="BW32" i="8"/>
  <c r="BV32" i="8"/>
  <c r="BU32" i="8"/>
  <c r="BT32" i="8"/>
  <c r="BS32" i="8"/>
  <c r="BR32" i="8"/>
  <c r="BQ32" i="8"/>
  <c r="BP32" i="8"/>
  <c r="BO32" i="8"/>
  <c r="BN32" i="8"/>
  <c r="BM32" i="8"/>
  <c r="BL32" i="8"/>
  <c r="BK32" i="8"/>
  <c r="BJ32" i="8"/>
  <c r="BI32" i="8"/>
  <c r="BH32" i="8"/>
  <c r="BG32" i="8"/>
  <c r="BF32" i="8"/>
  <c r="BC32" i="8"/>
  <c r="BB32" i="8"/>
  <c r="BA32" i="8"/>
  <c r="AZ32" i="8"/>
  <c r="AY32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G32" i="8"/>
  <c r="DA32" i="8" s="1"/>
  <c r="G31" i="8"/>
  <c r="BW31" i="8" s="1"/>
  <c r="DB30" i="8"/>
  <c r="CC30" i="8"/>
  <c r="BR30" i="8"/>
  <c r="BP30" i="8"/>
  <c r="AQ30" i="8"/>
  <c r="AJ30" i="8"/>
  <c r="AH30" i="8"/>
  <c r="I30" i="8"/>
  <c r="G30" i="8"/>
  <c r="CA30" i="8" s="1"/>
  <c r="DC29" i="8"/>
  <c r="DB29" i="8"/>
  <c r="DA29" i="8"/>
  <c r="CZ29" i="8"/>
  <c r="CY29" i="8"/>
  <c r="CX29" i="8"/>
  <c r="CA29" i="8"/>
  <c r="BZ29" i="8"/>
  <c r="BY29" i="8"/>
  <c r="BX29" i="8"/>
  <c r="BW29" i="8"/>
  <c r="BP29" i="8"/>
  <c r="BO29" i="8"/>
  <c r="BL29" i="8"/>
  <c r="BK29" i="8"/>
  <c r="BJ29" i="8"/>
  <c r="AM29" i="8"/>
  <c r="AL29" i="8"/>
  <c r="AK29" i="8"/>
  <c r="AJ29" i="8"/>
  <c r="AI29" i="8"/>
  <c r="AH29" i="8"/>
  <c r="AG29" i="8"/>
  <c r="AF29" i="8"/>
  <c r="AE29" i="8"/>
  <c r="AD29" i="8"/>
  <c r="I29" i="8"/>
  <c r="G29" i="8"/>
  <c r="DC28" i="8"/>
  <c r="DB28" i="8"/>
  <c r="DA28" i="8"/>
  <c r="CZ28" i="8"/>
  <c r="CY28" i="8"/>
  <c r="CX28" i="8"/>
  <c r="CW28" i="8"/>
  <c r="CV28" i="8"/>
  <c r="CU28" i="8"/>
  <c r="CT28" i="8"/>
  <c r="CG28" i="8"/>
  <c r="CD28" i="8"/>
  <c r="CC28" i="8"/>
  <c r="CA28" i="8"/>
  <c r="BZ28" i="8"/>
  <c r="BY28" i="8"/>
  <c r="BX28" i="8"/>
  <c r="BW28" i="8"/>
  <c r="BV28" i="8"/>
  <c r="BU28" i="8"/>
  <c r="BT28" i="8"/>
  <c r="BS28" i="8"/>
  <c r="BJ28" i="8"/>
  <c r="BI28" i="8"/>
  <c r="BH28" i="8"/>
  <c r="BG28" i="8"/>
  <c r="BF28" i="8"/>
  <c r="BA28" i="8"/>
  <c r="AX28" i="8"/>
  <c r="AW28" i="8"/>
  <c r="AU28" i="8"/>
  <c r="AR28" i="8"/>
  <c r="AQ28" i="8"/>
  <c r="AJ28" i="8"/>
  <c r="AI28" i="8"/>
  <c r="AH28" i="8"/>
  <c r="AG28" i="8"/>
  <c r="AF28" i="8"/>
  <c r="AE28" i="8"/>
  <c r="AD28" i="8"/>
  <c r="AC28" i="8"/>
  <c r="AB28" i="8"/>
  <c r="AA28" i="8"/>
  <c r="Z28" i="8"/>
  <c r="S28" i="8"/>
  <c r="J28" i="8"/>
  <c r="I28" i="8"/>
  <c r="G28" i="8"/>
  <c r="DC27" i="8"/>
  <c r="DB27" i="8"/>
  <c r="DA27" i="8"/>
  <c r="CZ27" i="8"/>
  <c r="CY27" i="8"/>
  <c r="CX27" i="8"/>
  <c r="CW27" i="8"/>
  <c r="CV27" i="8"/>
  <c r="CU27" i="8"/>
  <c r="CR27" i="8"/>
  <c r="CQ27" i="8"/>
  <c r="CP27" i="8"/>
  <c r="CO27" i="8"/>
  <c r="CN27" i="8"/>
  <c r="CM27" i="8"/>
  <c r="CF27" i="8"/>
  <c r="CE27" i="8"/>
  <c r="CD27" i="8"/>
  <c r="CC27" i="8"/>
  <c r="CB27" i="8"/>
  <c r="CA27" i="8"/>
  <c r="BZ27" i="8"/>
  <c r="BY27" i="8"/>
  <c r="BX27" i="8"/>
  <c r="BW27" i="8"/>
  <c r="BT27" i="8"/>
  <c r="BS27" i="8"/>
  <c r="BR27" i="8"/>
  <c r="BQ27" i="8"/>
  <c r="BP27" i="8"/>
  <c r="BO27" i="8"/>
  <c r="BN27" i="8"/>
  <c r="BM27" i="8"/>
  <c r="BF27" i="8"/>
  <c r="BE27" i="8"/>
  <c r="BD27" i="8"/>
  <c r="BC27" i="8"/>
  <c r="BB27" i="8"/>
  <c r="BA27" i="8"/>
  <c r="AZ27" i="8"/>
  <c r="AY27" i="8"/>
  <c r="AV27" i="8"/>
  <c r="AU27" i="8"/>
  <c r="AT27" i="8"/>
  <c r="AS27" i="8"/>
  <c r="AR27" i="8"/>
  <c r="AQ27" i="8"/>
  <c r="AP27" i="8"/>
  <c r="AO27" i="8"/>
  <c r="AN27" i="8"/>
  <c r="AM27" i="8"/>
  <c r="AF27" i="8"/>
  <c r="AE27" i="8"/>
  <c r="AD27" i="8"/>
  <c r="AC27" i="8"/>
  <c r="AB27" i="8"/>
  <c r="AA27" i="8"/>
  <c r="X27" i="8"/>
  <c r="W27" i="8"/>
  <c r="V27" i="8"/>
  <c r="U27" i="8"/>
  <c r="T27" i="8"/>
  <c r="S27" i="8"/>
  <c r="R27" i="8"/>
  <c r="Q27" i="8"/>
  <c r="P27" i="8"/>
  <c r="O27" i="8"/>
  <c r="N27" i="8"/>
  <c r="M27" i="8"/>
  <c r="G27" i="8"/>
  <c r="CG27" i="8" s="1"/>
  <c r="DC26" i="8"/>
  <c r="DB26" i="8"/>
  <c r="DA26" i="8"/>
  <c r="CZ26" i="8"/>
  <c r="CY26" i="8"/>
  <c r="CV26" i="8"/>
  <c r="CU26" i="8"/>
  <c r="CT26" i="8"/>
  <c r="CS26" i="8"/>
  <c r="CR26" i="8"/>
  <c r="CQ26" i="8"/>
  <c r="CP26" i="8"/>
  <c r="CO26" i="8"/>
  <c r="CN26" i="8"/>
  <c r="CM26" i="8"/>
  <c r="CL26" i="8"/>
  <c r="CK26" i="8"/>
  <c r="CJ26" i="8"/>
  <c r="CI26" i="8"/>
  <c r="CF26" i="8"/>
  <c r="CE26" i="8"/>
  <c r="CD26" i="8"/>
  <c r="CC26" i="8"/>
  <c r="CB26" i="8"/>
  <c r="CA26" i="8"/>
  <c r="BX26" i="8"/>
  <c r="BW26" i="8"/>
  <c r="BV26" i="8"/>
  <c r="BU26" i="8"/>
  <c r="BT26" i="8"/>
  <c r="BS26" i="8"/>
  <c r="BR26" i="8"/>
  <c r="BQ26" i="8"/>
  <c r="BP26" i="8"/>
  <c r="BO26" i="8"/>
  <c r="BN26" i="8"/>
  <c r="BM26" i="8"/>
  <c r="BL26" i="8"/>
  <c r="BK26" i="8"/>
  <c r="BJ26" i="8"/>
  <c r="BI26" i="8"/>
  <c r="BF26" i="8"/>
  <c r="BE26" i="8"/>
  <c r="BD26" i="8"/>
  <c r="BC26" i="8"/>
  <c r="AZ26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F26" i="8"/>
  <c r="AE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G26" i="8"/>
  <c r="CG26" i="8" s="1"/>
  <c r="CZ25" i="8"/>
  <c r="CY25" i="8"/>
  <c r="CX25" i="8"/>
  <c r="CW25" i="8"/>
  <c r="CV25" i="8"/>
  <c r="CU25" i="8"/>
  <c r="CT25" i="8"/>
  <c r="CS25" i="8"/>
  <c r="CR25" i="8"/>
  <c r="CQ25" i="8"/>
  <c r="CP25" i="8"/>
  <c r="CO25" i="8"/>
  <c r="CN25" i="8"/>
  <c r="CM25" i="8"/>
  <c r="CL25" i="8"/>
  <c r="CK25" i="8"/>
  <c r="CJ25" i="8"/>
  <c r="CI25" i="8"/>
  <c r="CH25" i="8"/>
  <c r="CG25" i="8"/>
  <c r="CF25" i="8"/>
  <c r="CE25" i="8"/>
  <c r="CD25" i="8"/>
  <c r="CA25" i="8"/>
  <c r="BZ25" i="8"/>
  <c r="BY25" i="8"/>
  <c r="BX25" i="8"/>
  <c r="BW25" i="8"/>
  <c r="BV25" i="8"/>
  <c r="BU25" i="8"/>
  <c r="BT25" i="8"/>
  <c r="BS25" i="8"/>
  <c r="BR25" i="8"/>
  <c r="BQ25" i="8"/>
  <c r="BP25" i="8"/>
  <c r="BO25" i="8"/>
  <c r="BN25" i="8"/>
  <c r="BM25" i="8"/>
  <c r="BL25" i="8"/>
  <c r="BK25" i="8"/>
  <c r="BJ25" i="8"/>
  <c r="BI25" i="8"/>
  <c r="BH25" i="8"/>
  <c r="BG25" i="8"/>
  <c r="BF25" i="8"/>
  <c r="BE25" i="8"/>
  <c r="BC25" i="8"/>
  <c r="BB25" i="8"/>
  <c r="BA25" i="8"/>
  <c r="AZ25" i="8"/>
  <c r="AY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G25" i="8"/>
  <c r="DA24" i="8"/>
  <c r="CY24" i="8"/>
  <c r="CX24" i="8"/>
  <c r="CW24" i="8"/>
  <c r="CV24" i="8"/>
  <c r="CU24" i="8"/>
  <c r="CT24" i="8"/>
  <c r="CS24" i="8"/>
  <c r="CR24" i="8"/>
  <c r="CQ24" i="8"/>
  <c r="CP24" i="8"/>
  <c r="CO24" i="8"/>
  <c r="CN24" i="8"/>
  <c r="CM24" i="8"/>
  <c r="CL24" i="8"/>
  <c r="CK24" i="8"/>
  <c r="CJ24" i="8"/>
  <c r="CI24" i="8"/>
  <c r="CH24" i="8"/>
  <c r="CC24" i="8"/>
  <c r="CA24" i="8"/>
  <c r="BZ24" i="8"/>
  <c r="BY24" i="8"/>
  <c r="BX24" i="8"/>
  <c r="BW24" i="8"/>
  <c r="BV24" i="8"/>
  <c r="BU24" i="8"/>
  <c r="BT24" i="8"/>
  <c r="BS24" i="8"/>
  <c r="BR24" i="8"/>
  <c r="BQ24" i="8"/>
  <c r="BP24" i="8"/>
  <c r="BO24" i="8"/>
  <c r="BN24" i="8"/>
  <c r="BM24" i="8"/>
  <c r="BL24" i="8"/>
  <c r="BK24" i="8"/>
  <c r="BJ24" i="8"/>
  <c r="BE24" i="8"/>
  <c r="BC24" i="8"/>
  <c r="BB24" i="8"/>
  <c r="BA24" i="8"/>
  <c r="AZ24" i="8"/>
  <c r="AY24" i="8"/>
  <c r="AX24" i="8"/>
  <c r="AW24" i="8"/>
  <c r="AV24" i="8"/>
  <c r="AU24" i="8"/>
  <c r="AT24" i="8"/>
  <c r="AS24" i="8"/>
  <c r="AR24" i="8"/>
  <c r="AQ24" i="8"/>
  <c r="AP24" i="8"/>
  <c r="AO24" i="8"/>
  <c r="AN24" i="8"/>
  <c r="AM24" i="8"/>
  <c r="AL24" i="8"/>
  <c r="AG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I24" i="8"/>
  <c r="G24" i="8"/>
  <c r="CZ23" i="8"/>
  <c r="CY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E23" i="8"/>
  <c r="CD23" i="8"/>
  <c r="CC23" i="8"/>
  <c r="CB23" i="8"/>
  <c r="CA23" i="8"/>
  <c r="BZ23" i="8"/>
  <c r="BV23" i="8"/>
  <c r="BU23" i="8"/>
  <c r="BS23" i="8"/>
  <c r="BR23" i="8"/>
  <c r="BQ23" i="8"/>
  <c r="BP23" i="8"/>
  <c r="BO23" i="8"/>
  <c r="BN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R23" i="8"/>
  <c r="AQ23" i="8"/>
  <c r="AK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J23" i="8"/>
  <c r="I23" i="8"/>
  <c r="G23" i="8"/>
  <c r="CU22" i="8"/>
  <c r="CT22" i="8"/>
  <c r="CS22" i="8"/>
  <c r="CR22" i="8"/>
  <c r="CQ22" i="8"/>
  <c r="CP22" i="8"/>
  <c r="CK22" i="8"/>
  <c r="CH22" i="8"/>
  <c r="BR22" i="8"/>
  <c r="BM22" i="8"/>
  <c r="BK22" i="8"/>
  <c r="BJ22" i="8"/>
  <c r="BI22" i="8"/>
  <c r="BH22" i="8"/>
  <c r="BG22" i="8"/>
  <c r="BE22" i="8"/>
  <c r="AJ22" i="8"/>
  <c r="AI22" i="8"/>
  <c r="AH22" i="8"/>
  <c r="AG22" i="8"/>
  <c r="AF22" i="8"/>
  <c r="AE22" i="8"/>
  <c r="AD22" i="8"/>
  <c r="AB22" i="8"/>
  <c r="G22" i="8"/>
  <c r="CI22" i="8" s="1"/>
  <c r="DC21" i="8"/>
  <c r="DB21" i="8"/>
  <c r="DA21" i="8"/>
  <c r="CZ21" i="8"/>
  <c r="CY21" i="8"/>
  <c r="CX21" i="8"/>
  <c r="CW21" i="8"/>
  <c r="CU21" i="8"/>
  <c r="CA21" i="8"/>
  <c r="BZ21" i="8"/>
  <c r="BY21" i="8"/>
  <c r="BX21" i="8"/>
  <c r="BW21" i="8"/>
  <c r="BV21" i="8"/>
  <c r="BQ21" i="8"/>
  <c r="BO21" i="8"/>
  <c r="BM21" i="8"/>
  <c r="AX21" i="8"/>
  <c r="AS21" i="8"/>
  <c r="AQ21" i="8"/>
  <c r="AP21" i="8"/>
  <c r="AO21" i="8"/>
  <c r="AN21" i="8"/>
  <c r="AM21" i="8"/>
  <c r="AL21" i="8"/>
  <c r="AJ21" i="8"/>
  <c r="P21" i="8"/>
  <c r="O21" i="8"/>
  <c r="N21" i="8"/>
  <c r="M21" i="8"/>
  <c r="L21" i="8"/>
  <c r="K21" i="8"/>
  <c r="J21" i="8"/>
  <c r="I21" i="8"/>
  <c r="G21" i="8"/>
  <c r="DC20" i="8"/>
  <c r="CJ20" i="8"/>
  <c r="CI20" i="8"/>
  <c r="CH20" i="8"/>
  <c r="CG20" i="8"/>
  <c r="CF20" i="8"/>
  <c r="CE20" i="8"/>
  <c r="CD20" i="8"/>
  <c r="CC20" i="8"/>
  <c r="CB20" i="8"/>
  <c r="CA20" i="8"/>
  <c r="BZ20" i="8"/>
  <c r="BK20" i="8"/>
  <c r="BH20" i="8"/>
  <c r="BG20" i="8"/>
  <c r="BF20" i="8"/>
  <c r="BE20" i="8"/>
  <c r="BD20" i="8"/>
  <c r="BC20" i="8"/>
  <c r="BB20" i="8"/>
  <c r="AX20" i="8"/>
  <c r="AW20" i="8"/>
  <c r="AV20" i="8"/>
  <c r="AU20" i="8"/>
  <c r="AJ20" i="8"/>
  <c r="AG20" i="8"/>
  <c r="AF20" i="8"/>
  <c r="AE20" i="8"/>
  <c r="AD20" i="8"/>
  <c r="Z20" i="8"/>
  <c r="Y20" i="8"/>
  <c r="X20" i="8"/>
  <c r="W20" i="8"/>
  <c r="V20" i="8"/>
  <c r="U20" i="8"/>
  <c r="T20" i="8"/>
  <c r="I20" i="8"/>
  <c r="G20" i="8"/>
  <c r="CK20" i="8" s="1"/>
  <c r="DC19" i="8"/>
  <c r="DB19" i="8"/>
  <c r="DA19" i="8"/>
  <c r="CY19" i="8"/>
  <c r="CX19" i="8"/>
  <c r="CW19" i="8"/>
  <c r="CV19" i="8"/>
  <c r="CU19" i="8"/>
  <c r="CT19" i="8"/>
  <c r="CS19" i="8"/>
  <c r="CR19" i="8"/>
  <c r="CQ19" i="8"/>
  <c r="CP19" i="8"/>
  <c r="CO19" i="8"/>
  <c r="CN19" i="8"/>
  <c r="CM19" i="8"/>
  <c r="CL19" i="8"/>
  <c r="CK19" i="8"/>
  <c r="CJ19" i="8"/>
  <c r="CI19" i="8"/>
  <c r="CH19" i="8"/>
  <c r="CG19" i="8"/>
  <c r="CF19" i="8"/>
  <c r="CE19" i="8"/>
  <c r="CD19" i="8"/>
  <c r="CC19" i="8"/>
  <c r="CA19" i="8"/>
  <c r="BZ19" i="8"/>
  <c r="BY19" i="8"/>
  <c r="BX19" i="8"/>
  <c r="BW19" i="8"/>
  <c r="BV19" i="8"/>
  <c r="BU19" i="8"/>
  <c r="BT19" i="8"/>
  <c r="BS19" i="8"/>
  <c r="BR19" i="8"/>
  <c r="BQ19" i="8"/>
  <c r="BP19" i="8"/>
  <c r="BO19" i="8"/>
  <c r="BN19" i="8"/>
  <c r="BM19" i="8"/>
  <c r="BL19" i="8"/>
  <c r="BK19" i="8"/>
  <c r="BJ19" i="8"/>
  <c r="BI19" i="8"/>
  <c r="BH19" i="8"/>
  <c r="BG19" i="8"/>
  <c r="BF19" i="8"/>
  <c r="BE19" i="8"/>
  <c r="BC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G19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M18" i="8"/>
  <c r="CL18" i="8"/>
  <c r="CK18" i="8"/>
  <c r="CJ18" i="8"/>
  <c r="CI18" i="8"/>
  <c r="CH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L18" i="8"/>
  <c r="BK18" i="8"/>
  <c r="BJ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J18" i="8"/>
  <c r="G18" i="8"/>
  <c r="CL17" i="8"/>
  <c r="CH17" i="8"/>
  <c r="CF17" i="8"/>
  <c r="BH17" i="8"/>
  <c r="BG17" i="8"/>
  <c r="BE17" i="8"/>
  <c r="AG17" i="8"/>
  <c r="AF17" i="8"/>
  <c r="AD17" i="8"/>
  <c r="G17" i="8"/>
  <c r="CM17" i="8" s="1"/>
  <c r="DC16" i="8"/>
  <c r="DB16" i="8"/>
  <c r="DA16" i="8"/>
  <c r="CZ16" i="8"/>
  <c r="CY16" i="8"/>
  <c r="CQ16" i="8"/>
  <c r="CH16" i="8"/>
  <c r="CG16" i="8"/>
  <c r="CF16" i="8"/>
  <c r="CE16" i="8"/>
  <c r="CD16" i="8"/>
  <c r="CC16" i="8"/>
  <c r="CB16" i="8"/>
  <c r="CA16" i="8"/>
  <c r="BZ16" i="8"/>
  <c r="BY16" i="8"/>
  <c r="BX16" i="8"/>
  <c r="BM16" i="8"/>
  <c r="BG16" i="8"/>
  <c r="BF16" i="8"/>
  <c r="BE16" i="8"/>
  <c r="BD16" i="8"/>
  <c r="BC16" i="8"/>
  <c r="BB16" i="8"/>
  <c r="BA16" i="8"/>
  <c r="AZ16" i="8"/>
  <c r="AY16" i="8"/>
  <c r="AX16" i="8"/>
  <c r="AW16" i="8"/>
  <c r="AL16" i="8"/>
  <c r="AF16" i="8"/>
  <c r="AE16" i="8"/>
  <c r="AD16" i="8"/>
  <c r="AC16" i="8"/>
  <c r="AB16" i="8"/>
  <c r="AA16" i="8"/>
  <c r="Z16" i="8"/>
  <c r="Y16" i="8"/>
  <c r="X16" i="8"/>
  <c r="W16" i="8"/>
  <c r="V16" i="8"/>
  <c r="K16" i="8"/>
  <c r="G16" i="8"/>
  <c r="CJ16" i="8" s="1"/>
  <c r="DC15" i="8"/>
  <c r="DB15" i="8"/>
  <c r="DA15" i="8"/>
  <c r="CZ15" i="8"/>
  <c r="CY15" i="8"/>
  <c r="CX15" i="8"/>
  <c r="CW15" i="8"/>
  <c r="CV15" i="8"/>
  <c r="CU15" i="8"/>
  <c r="CT15" i="8"/>
  <c r="CP15" i="8"/>
  <c r="CO15" i="8"/>
  <c r="CN15" i="8"/>
  <c r="CM15" i="8"/>
  <c r="CJ15" i="8"/>
  <c r="CI15" i="8"/>
  <c r="CH15" i="8"/>
  <c r="CG15" i="8"/>
  <c r="CF15" i="8"/>
  <c r="CE15" i="8"/>
  <c r="CD15" i="8"/>
  <c r="CC15" i="8"/>
  <c r="CB15" i="8"/>
  <c r="CA15" i="8"/>
  <c r="BZ15" i="8"/>
  <c r="BY15" i="8"/>
  <c r="BX15" i="8"/>
  <c r="BW15" i="8"/>
  <c r="BV15" i="8"/>
  <c r="BR15" i="8"/>
  <c r="BQ15" i="8"/>
  <c r="BP15" i="8"/>
  <c r="BO15" i="8"/>
  <c r="BN15" i="8"/>
  <c r="BM15" i="8"/>
  <c r="BL15" i="8"/>
  <c r="BI15" i="8"/>
  <c r="BH15" i="8"/>
  <c r="BG15" i="8"/>
  <c r="BF15" i="8"/>
  <c r="BE15" i="8"/>
  <c r="BD15" i="8"/>
  <c r="BC15" i="8"/>
  <c r="BB15" i="8"/>
  <c r="BA15" i="8"/>
  <c r="AZ15" i="8"/>
  <c r="AY15" i="8"/>
  <c r="AX15" i="8"/>
  <c r="AT15" i="8"/>
  <c r="AS15" i="8"/>
  <c r="AR15" i="8"/>
  <c r="AQ15" i="8"/>
  <c r="AP15" i="8"/>
  <c r="AO15" i="8"/>
  <c r="AN15" i="8"/>
  <c r="AM15" i="8"/>
  <c r="AL15" i="8"/>
  <c r="AK15" i="8"/>
  <c r="AH15" i="8"/>
  <c r="AG15" i="8"/>
  <c r="AF15" i="8"/>
  <c r="AE15" i="8"/>
  <c r="AD15" i="8"/>
  <c r="AC15" i="8"/>
  <c r="AB15" i="8"/>
  <c r="AA15" i="8"/>
  <c r="Z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G15" i="8"/>
  <c r="CI14" i="8"/>
  <c r="CH14" i="8"/>
  <c r="CF14" i="8"/>
  <c r="BH14" i="8"/>
  <c r="BG14" i="8"/>
  <c r="BE14" i="8"/>
  <c r="AG14" i="8"/>
  <c r="AF14" i="8"/>
  <c r="AD14" i="8"/>
  <c r="G14" i="8"/>
  <c r="CJ14" i="8" s="1"/>
  <c r="DC13" i="8"/>
  <c r="DB13" i="8"/>
  <c r="DA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G13" i="8"/>
  <c r="CZ13" i="8" s="1"/>
  <c r="DB12" i="8"/>
  <c r="DA12" i="8"/>
  <c r="CZ12" i="8"/>
  <c r="CY12" i="8"/>
  <c r="CX12" i="8"/>
  <c r="CS12" i="8"/>
  <c r="CP12" i="8"/>
  <c r="CO12" i="8"/>
  <c r="CM12" i="8"/>
  <c r="CL12" i="8"/>
  <c r="CK12" i="8"/>
  <c r="CJ12" i="8"/>
  <c r="CI12" i="8"/>
  <c r="CH12" i="8"/>
  <c r="CD12" i="8"/>
  <c r="CC12" i="8"/>
  <c r="CB12" i="8"/>
  <c r="CA12" i="8"/>
  <c r="BZ12" i="8"/>
  <c r="BY12" i="8"/>
  <c r="BX12" i="8"/>
  <c r="BW12" i="8"/>
  <c r="BR12" i="8"/>
  <c r="BO12" i="8"/>
  <c r="BN12" i="8"/>
  <c r="BL12" i="8"/>
  <c r="BK12" i="8"/>
  <c r="BJ12" i="8"/>
  <c r="BF12" i="8"/>
  <c r="BE12" i="8"/>
  <c r="BD12" i="8"/>
  <c r="BC12" i="8"/>
  <c r="BB12" i="8"/>
  <c r="BA12" i="8"/>
  <c r="AZ12" i="8"/>
  <c r="AY12" i="8"/>
  <c r="AX12" i="8"/>
  <c r="AW12" i="8"/>
  <c r="AV12" i="8"/>
  <c r="AQ12" i="8"/>
  <c r="AN12" i="8"/>
  <c r="AM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P12" i="8"/>
  <c r="J12" i="8"/>
  <c r="I12" i="8"/>
  <c r="G12" i="8"/>
  <c r="DC11" i="8"/>
  <c r="DB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M11" i="8"/>
  <c r="CL11" i="8"/>
  <c r="CH11" i="8"/>
  <c r="CG11" i="8"/>
  <c r="CF11" i="8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AS11" i="8"/>
  <c r="AR11" i="8"/>
  <c r="AQ11" i="8"/>
  <c r="AP11" i="8"/>
  <c r="AL11" i="8"/>
  <c r="AK11" i="8"/>
  <c r="AJ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N11" i="8"/>
  <c r="M11" i="8"/>
  <c r="L11" i="8"/>
  <c r="K11" i="8"/>
  <c r="J11" i="8"/>
  <c r="I11" i="8"/>
  <c r="G11" i="8"/>
  <c r="CH10" i="8"/>
  <c r="CG10" i="8"/>
  <c r="CE10" i="8"/>
  <c r="BG10" i="8"/>
  <c r="BF10" i="8"/>
  <c r="BD10" i="8"/>
  <c r="AF10" i="8"/>
  <c r="AE10" i="8"/>
  <c r="AC10" i="8"/>
  <c r="I10" i="8"/>
  <c r="G10" i="8"/>
  <c r="CJ10" i="8" s="1"/>
  <c r="DC9" i="8"/>
  <c r="DB9" i="8"/>
  <c r="DA9" i="8"/>
  <c r="CZ9" i="8"/>
  <c r="CY9" i="8"/>
  <c r="CX9" i="8"/>
  <c r="CP9" i="8"/>
  <c r="CM9" i="8"/>
  <c r="CL9" i="8"/>
  <c r="CJ9" i="8"/>
  <c r="CI9" i="8"/>
  <c r="CH9" i="8"/>
  <c r="CG9" i="8"/>
  <c r="CF9" i="8"/>
  <c r="CE9" i="8"/>
  <c r="CD9" i="8"/>
  <c r="CC9" i="8"/>
  <c r="CB9" i="8"/>
  <c r="CA9" i="8"/>
  <c r="BZ9" i="8"/>
  <c r="BY9" i="8"/>
  <c r="BX9" i="8"/>
  <c r="BW9" i="8"/>
  <c r="BO9" i="8"/>
  <c r="BL9" i="8"/>
  <c r="BK9" i="8"/>
  <c r="BI9" i="8"/>
  <c r="BH9" i="8"/>
  <c r="BG9" i="8"/>
  <c r="BF9" i="8"/>
  <c r="BE9" i="8"/>
  <c r="BD9" i="8"/>
  <c r="BC9" i="8"/>
  <c r="BB9" i="8"/>
  <c r="BA9" i="8"/>
  <c r="AZ9" i="8"/>
  <c r="AY9" i="8"/>
  <c r="AX9" i="8"/>
  <c r="AT9" i="8"/>
  <c r="AS9" i="8"/>
  <c r="AN9" i="8"/>
  <c r="AK9" i="8"/>
  <c r="AJ9" i="8"/>
  <c r="AH9" i="8"/>
  <c r="AG9" i="8"/>
  <c r="AF9" i="8"/>
  <c r="AE9" i="8"/>
  <c r="AD9" i="8"/>
  <c r="AC9" i="8"/>
  <c r="AB9" i="8"/>
  <c r="AA9" i="8"/>
  <c r="Z9" i="8"/>
  <c r="V9" i="8"/>
  <c r="U9" i="8"/>
  <c r="T9" i="8"/>
  <c r="S9" i="8"/>
  <c r="R9" i="8"/>
  <c r="M9" i="8"/>
  <c r="J9" i="8"/>
  <c r="I9" i="8"/>
  <c r="G9" i="8"/>
  <c r="DC8" i="8"/>
  <c r="DB8" i="8"/>
  <c r="DA8" i="8"/>
  <c r="CZ8" i="8"/>
  <c r="CY8" i="8"/>
  <c r="CX8" i="8"/>
  <c r="CT8" i="8"/>
  <c r="CS8" i="8"/>
  <c r="CR8" i="8"/>
  <c r="CQ8" i="8"/>
  <c r="CP8" i="8"/>
  <c r="CO8" i="8"/>
  <c r="CN8" i="8"/>
  <c r="CM8" i="8"/>
  <c r="CL8" i="8"/>
  <c r="CJ8" i="8"/>
  <c r="CI8" i="8"/>
  <c r="CH8" i="8"/>
  <c r="CG8" i="8"/>
  <c r="CF8" i="8"/>
  <c r="CE8" i="8"/>
  <c r="CD8" i="8"/>
  <c r="CC8" i="8"/>
  <c r="CB8" i="8"/>
  <c r="CA8" i="8"/>
  <c r="BZ8" i="8"/>
  <c r="BV8" i="8"/>
  <c r="BU8" i="8"/>
  <c r="BT8" i="8"/>
  <c r="BS8" i="8"/>
  <c r="BR8" i="8"/>
  <c r="BQ8" i="8"/>
  <c r="BP8" i="8"/>
  <c r="BO8" i="8"/>
  <c r="BN8" i="8"/>
  <c r="BM8" i="8"/>
  <c r="BL8" i="8"/>
  <c r="BK8" i="8"/>
  <c r="BI8" i="8"/>
  <c r="BH8" i="8"/>
  <c r="BG8" i="8"/>
  <c r="BF8" i="8"/>
  <c r="BE8" i="8"/>
  <c r="BD8" i="8"/>
  <c r="BC8" i="8"/>
  <c r="BB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H8" i="8"/>
  <c r="AG8" i="8"/>
  <c r="AF8" i="8"/>
  <c r="AE8" i="8"/>
  <c r="AD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G8" i="8"/>
  <c r="DC7" i="8"/>
  <c r="DB7" i="8"/>
  <c r="DA7" i="8"/>
  <c r="CY7" i="8"/>
  <c r="CX7" i="8"/>
  <c r="CW7" i="8"/>
  <c r="CV7" i="8"/>
  <c r="CU7" i="8"/>
  <c r="CT7" i="8"/>
  <c r="CS7" i="8"/>
  <c r="CR7" i="8"/>
  <c r="CQ7" i="8"/>
  <c r="CP7" i="8"/>
  <c r="CO7" i="8"/>
  <c r="CN7" i="8"/>
  <c r="CM7" i="8"/>
  <c r="CL7" i="8"/>
  <c r="CK7" i="8"/>
  <c r="CJ7" i="8"/>
  <c r="CI7" i="8"/>
  <c r="CH7" i="8"/>
  <c r="CG7" i="8"/>
  <c r="CF7" i="8"/>
  <c r="CE7" i="8"/>
  <c r="CD7" i="8"/>
  <c r="CC7" i="8"/>
  <c r="CA7" i="8"/>
  <c r="BZ7" i="8"/>
  <c r="BY7" i="8"/>
  <c r="BX7" i="8"/>
  <c r="BW7" i="8"/>
  <c r="BV7" i="8"/>
  <c r="BU7" i="8"/>
  <c r="BT7" i="8"/>
  <c r="BS7" i="8"/>
  <c r="BR7" i="8"/>
  <c r="BQ7" i="8"/>
  <c r="BP7" i="8"/>
  <c r="BO7" i="8"/>
  <c r="BN7" i="8"/>
  <c r="BM7" i="8"/>
  <c r="BL7" i="8"/>
  <c r="BK7" i="8"/>
  <c r="BJ7" i="8"/>
  <c r="BI7" i="8"/>
  <c r="BH7" i="8"/>
  <c r="BG7" i="8"/>
  <c r="BF7" i="8"/>
  <c r="BE7" i="8"/>
  <c r="BC7" i="8"/>
  <c r="BB7" i="8"/>
  <c r="BA7" i="8"/>
  <c r="AZ7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G7" i="8"/>
  <c r="CZ7" i="8" s="1"/>
  <c r="CJ6" i="8"/>
  <c r="CI6" i="8"/>
  <c r="CD6" i="8"/>
  <c r="BF6" i="8"/>
  <c r="BE6" i="8"/>
  <c r="BC6" i="8"/>
  <c r="AE6" i="8"/>
  <c r="AD6" i="8"/>
  <c r="AB6" i="8"/>
  <c r="I6" i="8"/>
  <c r="G6" i="8"/>
  <c r="CM6" i="8" s="1"/>
  <c r="DC5" i="8"/>
  <c r="DB5" i="8"/>
  <c r="DA5" i="8"/>
  <c r="CZ5" i="8"/>
  <c r="CY5" i="8"/>
  <c r="CW5" i="8"/>
  <c r="CO5" i="8"/>
  <c r="CD5" i="8"/>
  <c r="CC5" i="8"/>
  <c r="CB5" i="8"/>
  <c r="CA5" i="8"/>
  <c r="BZ5" i="8"/>
  <c r="BY5" i="8"/>
  <c r="BX5" i="8"/>
  <c r="BV5" i="8"/>
  <c r="BN5" i="8"/>
  <c r="BC5" i="8"/>
  <c r="BB5" i="8"/>
  <c r="BA5" i="8"/>
  <c r="AZ5" i="8"/>
  <c r="AY5" i="8"/>
  <c r="AX5" i="8"/>
  <c r="AW5" i="8"/>
  <c r="AU5" i="8"/>
  <c r="AJ5" i="8"/>
  <c r="AB5" i="8"/>
  <c r="AA5" i="8"/>
  <c r="Z5" i="8"/>
  <c r="Y5" i="8"/>
  <c r="X5" i="8"/>
  <c r="W5" i="8"/>
  <c r="V5" i="8"/>
  <c r="T5" i="8"/>
  <c r="I5" i="8"/>
  <c r="G5" i="8"/>
  <c r="CM5" i="8" s="1"/>
  <c r="DC4" i="8"/>
  <c r="DB4" i="8"/>
  <c r="DA4" i="8"/>
  <c r="CZ4" i="8"/>
  <c r="CY4" i="8"/>
  <c r="CX4" i="8"/>
  <c r="CW4" i="8"/>
  <c r="CV4" i="8"/>
  <c r="CU4" i="8"/>
  <c r="CT4" i="8"/>
  <c r="CS4" i="8"/>
  <c r="CR4" i="8"/>
  <c r="CQ4" i="8"/>
  <c r="CP4" i="8"/>
  <c r="CL4" i="8"/>
  <c r="CH4" i="8"/>
  <c r="CG4" i="8"/>
  <c r="CF4" i="8"/>
  <c r="CE4" i="8"/>
  <c r="CD4" i="8"/>
  <c r="CC4" i="8"/>
  <c r="CB4" i="8"/>
  <c r="CA4" i="8"/>
  <c r="BZ4" i="8"/>
  <c r="BY4" i="8"/>
  <c r="BX4" i="8"/>
  <c r="BW4" i="8"/>
  <c r="BV4" i="8"/>
  <c r="BU4" i="8"/>
  <c r="BT4" i="8"/>
  <c r="BS4" i="8"/>
  <c r="BR4" i="8"/>
  <c r="BN4" i="8"/>
  <c r="BM4" i="8"/>
  <c r="BL4" i="8"/>
  <c r="BK4" i="8"/>
  <c r="BG4" i="8"/>
  <c r="BF4" i="8"/>
  <c r="BE4" i="8"/>
  <c r="BD4" i="8"/>
  <c r="BC4" i="8"/>
  <c r="BB4" i="8"/>
  <c r="BA4" i="8"/>
  <c r="AZ4" i="8"/>
  <c r="AY4" i="8"/>
  <c r="AX4" i="8"/>
  <c r="AW4" i="8"/>
  <c r="AV4" i="8"/>
  <c r="AU4" i="8"/>
  <c r="AT4" i="8"/>
  <c r="AP4" i="8"/>
  <c r="AO4" i="8"/>
  <c r="AN4" i="8"/>
  <c r="AM4" i="8"/>
  <c r="AL4" i="8"/>
  <c r="AK4" i="8"/>
  <c r="AJ4" i="8"/>
  <c r="AF4" i="8"/>
  <c r="AE4" i="8"/>
  <c r="AD4" i="8"/>
  <c r="AC4" i="8"/>
  <c r="AB4" i="8"/>
  <c r="AA4" i="8"/>
  <c r="Z4" i="8"/>
  <c r="Y4" i="8"/>
  <c r="X4" i="8"/>
  <c r="W4" i="8"/>
  <c r="V4" i="8"/>
  <c r="R4" i="8"/>
  <c r="Q4" i="8"/>
  <c r="P4" i="8"/>
  <c r="O4" i="8"/>
  <c r="N4" i="8"/>
  <c r="M4" i="8"/>
  <c r="L4" i="8"/>
  <c r="K4" i="8"/>
  <c r="J4" i="8"/>
  <c r="I4" i="8"/>
  <c r="G4" i="8"/>
  <c r="CJ4" i="8" s="1"/>
  <c r="CG3" i="8"/>
  <c r="CF3" i="8"/>
  <c r="CD3" i="8"/>
  <c r="BF3" i="8"/>
  <c r="BE3" i="8"/>
  <c r="BC3" i="8"/>
  <c r="AE3" i="8"/>
  <c r="AD3" i="8"/>
  <c r="AB3" i="8"/>
  <c r="I3" i="8"/>
  <c r="G3" i="8"/>
  <c r="CJ3" i="8" s="1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R102" i="6"/>
  <c r="P102" i="6"/>
  <c r="O102" i="6"/>
  <c r="R101" i="6"/>
  <c r="O101" i="6"/>
  <c r="P101" i="6" s="1"/>
  <c r="R100" i="6"/>
  <c r="P100" i="6"/>
  <c r="O100" i="6"/>
  <c r="R99" i="6"/>
  <c r="O99" i="6"/>
  <c r="P99" i="6" s="1"/>
  <c r="R98" i="6"/>
  <c r="P98" i="6"/>
  <c r="O98" i="6"/>
  <c r="R97" i="6"/>
  <c r="O97" i="6"/>
  <c r="P97" i="6" s="1"/>
  <c r="R96" i="6"/>
  <c r="P96" i="6"/>
  <c r="O96" i="6"/>
  <c r="R95" i="6"/>
  <c r="O95" i="6"/>
  <c r="P95" i="6" s="1"/>
  <c r="R94" i="6"/>
  <c r="P94" i="6"/>
  <c r="O94" i="6"/>
  <c r="R93" i="6"/>
  <c r="O93" i="6"/>
  <c r="P93" i="6" s="1"/>
  <c r="R92" i="6"/>
  <c r="P92" i="6"/>
  <c r="O92" i="6"/>
  <c r="R91" i="6"/>
  <c r="O91" i="6"/>
  <c r="P91" i="6" s="1"/>
  <c r="R90" i="6"/>
  <c r="P90" i="6"/>
  <c r="O90" i="6"/>
  <c r="R89" i="6"/>
  <c r="O89" i="6"/>
  <c r="P89" i="6" s="1"/>
  <c r="R88" i="6"/>
  <c r="P88" i="6"/>
  <c r="O88" i="6"/>
  <c r="R87" i="6"/>
  <c r="O87" i="6"/>
  <c r="P87" i="6" s="1"/>
  <c r="R86" i="6"/>
  <c r="P86" i="6"/>
  <c r="O86" i="6"/>
  <c r="R85" i="6"/>
  <c r="O85" i="6"/>
  <c r="P85" i="6" s="1"/>
  <c r="R84" i="6"/>
  <c r="P84" i="6"/>
  <c r="O84" i="6"/>
  <c r="R83" i="6"/>
  <c r="O83" i="6"/>
  <c r="P83" i="6" s="1"/>
  <c r="R82" i="6"/>
  <c r="P82" i="6"/>
  <c r="O82" i="6"/>
  <c r="R81" i="6"/>
  <c r="O81" i="6"/>
  <c r="P81" i="6" s="1"/>
  <c r="R80" i="6"/>
  <c r="P80" i="6"/>
  <c r="O80" i="6"/>
  <c r="R79" i="6"/>
  <c r="O79" i="6"/>
  <c r="P79" i="6" s="1"/>
  <c r="R78" i="6"/>
  <c r="P78" i="6"/>
  <c r="O78" i="6"/>
  <c r="R77" i="6"/>
  <c r="O77" i="6"/>
  <c r="P77" i="6" s="1"/>
  <c r="R76" i="6"/>
  <c r="P76" i="6"/>
  <c r="O76" i="6"/>
  <c r="R75" i="6"/>
  <c r="O75" i="6"/>
  <c r="P75" i="6" s="1"/>
  <c r="R74" i="6"/>
  <c r="P74" i="6"/>
  <c r="O74" i="6"/>
  <c r="R73" i="6"/>
  <c r="O73" i="6"/>
  <c r="P73" i="6" s="1"/>
  <c r="R72" i="6"/>
  <c r="P72" i="6"/>
  <c r="O72" i="6"/>
  <c r="R71" i="6"/>
  <c r="O71" i="6"/>
  <c r="P71" i="6" s="1"/>
  <c r="R70" i="6"/>
  <c r="P70" i="6"/>
  <c r="O70" i="6"/>
  <c r="R69" i="6"/>
  <c r="O69" i="6"/>
  <c r="P69" i="6" s="1"/>
  <c r="R68" i="6"/>
  <c r="P68" i="6"/>
  <c r="O68" i="6"/>
  <c r="R67" i="6"/>
  <c r="O67" i="6"/>
  <c r="P67" i="6" s="1"/>
  <c r="R66" i="6"/>
  <c r="P66" i="6"/>
  <c r="O66" i="6"/>
  <c r="R65" i="6"/>
  <c r="O65" i="6"/>
  <c r="P65" i="6" s="1"/>
  <c r="R64" i="6"/>
  <c r="P64" i="6"/>
  <c r="O64" i="6"/>
  <c r="R63" i="6"/>
  <c r="O63" i="6"/>
  <c r="P63" i="6" s="1"/>
  <c r="R62" i="6"/>
  <c r="P62" i="6"/>
  <c r="O62" i="6"/>
  <c r="R61" i="6"/>
  <c r="O61" i="6"/>
  <c r="P61" i="6" s="1"/>
  <c r="R60" i="6"/>
  <c r="P60" i="6"/>
  <c r="O60" i="6"/>
  <c r="R59" i="6"/>
  <c r="O59" i="6"/>
  <c r="P59" i="6" s="1"/>
  <c r="R58" i="6"/>
  <c r="P58" i="6"/>
  <c r="O58" i="6"/>
  <c r="R57" i="6"/>
  <c r="O57" i="6"/>
  <c r="P57" i="6" s="1"/>
  <c r="R56" i="6"/>
  <c r="P56" i="6"/>
  <c r="O56" i="6"/>
  <c r="R55" i="6"/>
  <c r="O55" i="6"/>
  <c r="P55" i="6" s="1"/>
  <c r="R54" i="6"/>
  <c r="P54" i="6"/>
  <c r="O54" i="6"/>
  <c r="R53" i="6"/>
  <c r="O53" i="6"/>
  <c r="P53" i="6" s="1"/>
  <c r="R52" i="6"/>
  <c r="P52" i="6"/>
  <c r="O52" i="6"/>
  <c r="R51" i="6"/>
  <c r="O51" i="6"/>
  <c r="P51" i="6" s="1"/>
  <c r="R50" i="6"/>
  <c r="P50" i="6"/>
  <c r="O50" i="6"/>
  <c r="R49" i="6"/>
  <c r="O49" i="6"/>
  <c r="P49" i="6" s="1"/>
  <c r="R48" i="6"/>
  <c r="P48" i="6"/>
  <c r="O48" i="6"/>
  <c r="R47" i="6"/>
  <c r="O47" i="6"/>
  <c r="P47" i="6" s="1"/>
  <c r="R46" i="6"/>
  <c r="P46" i="6"/>
  <c r="O46" i="6"/>
  <c r="R45" i="6"/>
  <c r="O45" i="6"/>
  <c r="P45" i="6" s="1"/>
  <c r="R44" i="6"/>
  <c r="P44" i="6"/>
  <c r="O44" i="6"/>
  <c r="R43" i="6"/>
  <c r="O43" i="6"/>
  <c r="P43" i="6" s="1"/>
  <c r="R42" i="6"/>
  <c r="P42" i="6"/>
  <c r="O42" i="6"/>
  <c r="R41" i="6"/>
  <c r="O41" i="6"/>
  <c r="P41" i="6" s="1"/>
  <c r="R40" i="6"/>
  <c r="P40" i="6"/>
  <c r="O40" i="6"/>
  <c r="R39" i="6"/>
  <c r="O39" i="6"/>
  <c r="P39" i="6" s="1"/>
  <c r="R38" i="6"/>
  <c r="P38" i="6"/>
  <c r="O38" i="6"/>
  <c r="R37" i="6"/>
  <c r="O37" i="6"/>
  <c r="P37" i="6" s="1"/>
  <c r="R36" i="6"/>
  <c r="P36" i="6"/>
  <c r="O36" i="6"/>
  <c r="R35" i="6"/>
  <c r="O35" i="6"/>
  <c r="P35" i="6" s="1"/>
  <c r="R34" i="6"/>
  <c r="P34" i="6"/>
  <c r="O34" i="6"/>
  <c r="R33" i="6"/>
  <c r="O33" i="6"/>
  <c r="P33" i="6" s="1"/>
  <c r="R32" i="6"/>
  <c r="P32" i="6"/>
  <c r="O32" i="6"/>
  <c r="R31" i="6"/>
  <c r="O31" i="6"/>
  <c r="P31" i="6" s="1"/>
  <c r="R30" i="6"/>
  <c r="P30" i="6"/>
  <c r="O30" i="6"/>
  <c r="R29" i="6"/>
  <c r="O29" i="6"/>
  <c r="P29" i="6" s="1"/>
  <c r="R28" i="6"/>
  <c r="P28" i="6"/>
  <c r="O28" i="6"/>
  <c r="R27" i="6"/>
  <c r="O27" i="6"/>
  <c r="P27" i="6" s="1"/>
  <c r="R26" i="6"/>
  <c r="P26" i="6"/>
  <c r="O26" i="6"/>
  <c r="R25" i="6"/>
  <c r="O25" i="6"/>
  <c r="P25" i="6" s="1"/>
  <c r="R24" i="6"/>
  <c r="P24" i="6"/>
  <c r="O24" i="6"/>
  <c r="R23" i="6"/>
  <c r="O23" i="6"/>
  <c r="P23" i="6" s="1"/>
  <c r="R22" i="6"/>
  <c r="P22" i="6"/>
  <c r="O22" i="6"/>
  <c r="R21" i="6"/>
  <c r="O21" i="6"/>
  <c r="P21" i="6" s="1"/>
  <c r="R20" i="6"/>
  <c r="P20" i="6"/>
  <c r="O20" i="6"/>
  <c r="R19" i="6"/>
  <c r="O19" i="6"/>
  <c r="P19" i="6" s="1"/>
  <c r="R18" i="6"/>
  <c r="P18" i="6"/>
  <c r="O18" i="6"/>
  <c r="R17" i="6"/>
  <c r="O17" i="6"/>
  <c r="P17" i="6" s="1"/>
  <c r="R16" i="6"/>
  <c r="P16" i="6"/>
  <c r="O16" i="6"/>
  <c r="R15" i="6"/>
  <c r="O15" i="6"/>
  <c r="P15" i="6" s="1"/>
  <c r="R14" i="6"/>
  <c r="P14" i="6"/>
  <c r="O14" i="6"/>
  <c r="R13" i="6"/>
  <c r="O13" i="6"/>
  <c r="P13" i="6" s="1"/>
  <c r="R12" i="6"/>
  <c r="P12" i="6"/>
  <c r="O12" i="6"/>
  <c r="R11" i="6"/>
  <c r="O11" i="6"/>
  <c r="P11" i="6" s="1"/>
  <c r="R10" i="6"/>
  <c r="P10" i="6"/>
  <c r="O10" i="6"/>
  <c r="R9" i="6"/>
  <c r="O9" i="6"/>
  <c r="P9" i="6" s="1"/>
  <c r="R8" i="6"/>
  <c r="P8" i="6"/>
  <c r="O8" i="6"/>
  <c r="R7" i="6"/>
  <c r="O7" i="6"/>
  <c r="G11" i="1" s="1"/>
  <c r="R6" i="6"/>
  <c r="P6" i="6"/>
  <c r="O6" i="6"/>
  <c r="R5" i="6"/>
  <c r="O5" i="6"/>
  <c r="P5" i="6" s="1"/>
  <c r="R4" i="6"/>
  <c r="P4" i="6"/>
  <c r="O4" i="6"/>
  <c r="R3" i="6"/>
  <c r="O3" i="6"/>
  <c r="J11" i="1" s="1"/>
  <c r="H102" i="5"/>
  <c r="F102" i="5"/>
  <c r="E102" i="5"/>
  <c r="C102" i="5"/>
  <c r="H101" i="5"/>
  <c r="F101" i="5"/>
  <c r="E101" i="5"/>
  <c r="C101" i="5"/>
  <c r="H100" i="5"/>
  <c r="F100" i="5"/>
  <c r="E100" i="5"/>
  <c r="C100" i="5"/>
  <c r="H99" i="5"/>
  <c r="F99" i="5"/>
  <c r="E99" i="5"/>
  <c r="C99" i="5"/>
  <c r="H98" i="5"/>
  <c r="F98" i="5"/>
  <c r="E98" i="5"/>
  <c r="C98" i="5"/>
  <c r="H97" i="5"/>
  <c r="F97" i="5"/>
  <c r="E97" i="5"/>
  <c r="C97" i="5"/>
  <c r="H96" i="5"/>
  <c r="F96" i="5"/>
  <c r="E96" i="5"/>
  <c r="C96" i="5"/>
  <c r="H95" i="5"/>
  <c r="F95" i="5"/>
  <c r="E95" i="5"/>
  <c r="C95" i="5"/>
  <c r="H94" i="5"/>
  <c r="F94" i="5"/>
  <c r="E94" i="5"/>
  <c r="C94" i="5"/>
  <c r="H93" i="5"/>
  <c r="F93" i="5"/>
  <c r="E93" i="5"/>
  <c r="C93" i="5"/>
  <c r="H92" i="5"/>
  <c r="F92" i="5"/>
  <c r="E92" i="5"/>
  <c r="C92" i="5"/>
  <c r="H91" i="5"/>
  <c r="F91" i="5"/>
  <c r="E91" i="5"/>
  <c r="C91" i="5"/>
  <c r="H90" i="5"/>
  <c r="F90" i="5"/>
  <c r="E90" i="5"/>
  <c r="C90" i="5"/>
  <c r="H89" i="5"/>
  <c r="F89" i="5"/>
  <c r="E89" i="5"/>
  <c r="C89" i="5"/>
  <c r="H88" i="5"/>
  <c r="F88" i="5"/>
  <c r="E88" i="5"/>
  <c r="C88" i="5"/>
  <c r="H87" i="5"/>
  <c r="F87" i="5"/>
  <c r="E87" i="5"/>
  <c r="C87" i="5"/>
  <c r="H86" i="5"/>
  <c r="F86" i="5"/>
  <c r="E86" i="5"/>
  <c r="C86" i="5"/>
  <c r="H85" i="5"/>
  <c r="F85" i="5"/>
  <c r="E85" i="5"/>
  <c r="C85" i="5"/>
  <c r="H84" i="5"/>
  <c r="F84" i="5"/>
  <c r="E84" i="5"/>
  <c r="C84" i="5"/>
  <c r="H83" i="5"/>
  <c r="F83" i="5"/>
  <c r="E83" i="5"/>
  <c r="C83" i="5"/>
  <c r="H82" i="5"/>
  <c r="F82" i="5"/>
  <c r="E82" i="5"/>
  <c r="C82" i="5"/>
  <c r="H81" i="5"/>
  <c r="F81" i="5"/>
  <c r="E81" i="5"/>
  <c r="C81" i="5"/>
  <c r="H80" i="5"/>
  <c r="F80" i="5"/>
  <c r="E80" i="5"/>
  <c r="C80" i="5"/>
  <c r="H79" i="5"/>
  <c r="F79" i="5"/>
  <c r="E79" i="5"/>
  <c r="C79" i="5"/>
  <c r="H78" i="5"/>
  <c r="F78" i="5"/>
  <c r="E78" i="5"/>
  <c r="C78" i="5"/>
  <c r="H77" i="5"/>
  <c r="F77" i="5"/>
  <c r="E77" i="5"/>
  <c r="C77" i="5"/>
  <c r="H76" i="5"/>
  <c r="F76" i="5"/>
  <c r="E76" i="5"/>
  <c r="C76" i="5"/>
  <c r="H75" i="5"/>
  <c r="F75" i="5"/>
  <c r="E75" i="5"/>
  <c r="C75" i="5"/>
  <c r="H74" i="5"/>
  <c r="F74" i="5"/>
  <c r="E74" i="5"/>
  <c r="C74" i="5"/>
  <c r="H73" i="5"/>
  <c r="F73" i="5"/>
  <c r="E73" i="5"/>
  <c r="C73" i="5"/>
  <c r="H72" i="5"/>
  <c r="F72" i="5"/>
  <c r="E72" i="5"/>
  <c r="C72" i="5"/>
  <c r="H71" i="5"/>
  <c r="F71" i="5"/>
  <c r="E71" i="5"/>
  <c r="C71" i="5"/>
  <c r="H70" i="5"/>
  <c r="F70" i="5"/>
  <c r="E70" i="5"/>
  <c r="C70" i="5"/>
  <c r="H69" i="5"/>
  <c r="F69" i="5"/>
  <c r="E69" i="5"/>
  <c r="C69" i="5"/>
  <c r="H68" i="5"/>
  <c r="F68" i="5"/>
  <c r="E68" i="5"/>
  <c r="C68" i="5"/>
  <c r="H67" i="5"/>
  <c r="F67" i="5"/>
  <c r="E67" i="5"/>
  <c r="C67" i="5"/>
  <c r="H66" i="5"/>
  <c r="F66" i="5"/>
  <c r="E66" i="5"/>
  <c r="C66" i="5"/>
  <c r="H65" i="5"/>
  <c r="F65" i="5"/>
  <c r="E65" i="5"/>
  <c r="C65" i="5"/>
  <c r="H64" i="5"/>
  <c r="F64" i="5"/>
  <c r="E64" i="5"/>
  <c r="C64" i="5"/>
  <c r="H63" i="5"/>
  <c r="F63" i="5"/>
  <c r="E63" i="5"/>
  <c r="C63" i="5"/>
  <c r="H62" i="5"/>
  <c r="F62" i="5"/>
  <c r="E62" i="5"/>
  <c r="C62" i="5"/>
  <c r="H61" i="5"/>
  <c r="F61" i="5"/>
  <c r="E61" i="5"/>
  <c r="C61" i="5"/>
  <c r="H60" i="5"/>
  <c r="F60" i="5"/>
  <c r="E60" i="5"/>
  <c r="C60" i="5"/>
  <c r="H59" i="5"/>
  <c r="F59" i="5"/>
  <c r="E59" i="5"/>
  <c r="C59" i="5"/>
  <c r="H58" i="5"/>
  <c r="F58" i="5"/>
  <c r="E58" i="5"/>
  <c r="C58" i="5"/>
  <c r="H57" i="5"/>
  <c r="F57" i="5"/>
  <c r="E57" i="5"/>
  <c r="C57" i="5"/>
  <c r="H56" i="5"/>
  <c r="F56" i="5"/>
  <c r="E56" i="5"/>
  <c r="C56" i="5"/>
  <c r="H55" i="5"/>
  <c r="F55" i="5"/>
  <c r="E55" i="5"/>
  <c r="C55" i="5"/>
  <c r="H54" i="5"/>
  <c r="F54" i="5"/>
  <c r="E54" i="5"/>
  <c r="C54" i="5"/>
  <c r="H53" i="5"/>
  <c r="F53" i="5"/>
  <c r="E53" i="5"/>
  <c r="C53" i="5"/>
  <c r="H52" i="5"/>
  <c r="F52" i="5"/>
  <c r="E52" i="5"/>
  <c r="C52" i="5"/>
  <c r="H51" i="5"/>
  <c r="F51" i="5"/>
  <c r="E51" i="5"/>
  <c r="C51" i="5"/>
  <c r="H50" i="5"/>
  <c r="F50" i="5"/>
  <c r="E50" i="5"/>
  <c r="C50" i="5"/>
  <c r="H49" i="5"/>
  <c r="F49" i="5"/>
  <c r="E49" i="5"/>
  <c r="C49" i="5"/>
  <c r="H48" i="5"/>
  <c r="F48" i="5"/>
  <c r="E48" i="5"/>
  <c r="C48" i="5"/>
  <c r="H47" i="5"/>
  <c r="F47" i="5"/>
  <c r="E47" i="5"/>
  <c r="C47" i="5"/>
  <c r="H46" i="5"/>
  <c r="F46" i="5"/>
  <c r="E46" i="5"/>
  <c r="C46" i="5"/>
  <c r="H45" i="5"/>
  <c r="F45" i="5"/>
  <c r="E45" i="5"/>
  <c r="C45" i="5"/>
  <c r="H44" i="5"/>
  <c r="F44" i="5"/>
  <c r="E44" i="5"/>
  <c r="C44" i="5"/>
  <c r="H43" i="5"/>
  <c r="F43" i="5"/>
  <c r="E43" i="5"/>
  <c r="C43" i="5"/>
  <c r="H42" i="5"/>
  <c r="F42" i="5"/>
  <c r="E42" i="5"/>
  <c r="C42" i="5"/>
  <c r="H41" i="5"/>
  <c r="F41" i="5"/>
  <c r="E41" i="5"/>
  <c r="C41" i="5"/>
  <c r="H40" i="5"/>
  <c r="F40" i="5"/>
  <c r="E40" i="5"/>
  <c r="C40" i="5"/>
  <c r="H39" i="5"/>
  <c r="F39" i="5"/>
  <c r="E39" i="5"/>
  <c r="C39" i="5"/>
  <c r="H38" i="5"/>
  <c r="F38" i="5"/>
  <c r="E38" i="5"/>
  <c r="C38" i="5"/>
  <c r="H37" i="5"/>
  <c r="F37" i="5"/>
  <c r="E37" i="5"/>
  <c r="C37" i="5"/>
  <c r="H36" i="5"/>
  <c r="F36" i="5"/>
  <c r="E36" i="5"/>
  <c r="C36" i="5"/>
  <c r="H35" i="5"/>
  <c r="F35" i="5"/>
  <c r="E35" i="5"/>
  <c r="C35" i="5"/>
  <c r="H34" i="5"/>
  <c r="F34" i="5"/>
  <c r="E34" i="5"/>
  <c r="C34" i="5"/>
  <c r="H33" i="5"/>
  <c r="F33" i="5"/>
  <c r="E33" i="5"/>
  <c r="C33" i="5"/>
  <c r="H32" i="5"/>
  <c r="F32" i="5"/>
  <c r="E32" i="5"/>
  <c r="C32" i="5"/>
  <c r="H31" i="5"/>
  <c r="F31" i="5"/>
  <c r="E31" i="5"/>
  <c r="C31" i="5"/>
  <c r="H30" i="5"/>
  <c r="F30" i="5"/>
  <c r="E30" i="5"/>
  <c r="C30" i="5"/>
  <c r="H29" i="5"/>
  <c r="F29" i="5"/>
  <c r="E29" i="5"/>
  <c r="C29" i="5"/>
  <c r="H28" i="5"/>
  <c r="F28" i="5"/>
  <c r="E28" i="5"/>
  <c r="C28" i="5"/>
  <c r="H27" i="5"/>
  <c r="F27" i="5"/>
  <c r="E27" i="5"/>
  <c r="C27" i="5"/>
  <c r="H26" i="5"/>
  <c r="F26" i="5"/>
  <c r="E26" i="5"/>
  <c r="C26" i="5"/>
  <c r="H25" i="5"/>
  <c r="F25" i="5"/>
  <c r="E25" i="5"/>
  <c r="C25" i="5"/>
  <c r="H24" i="5"/>
  <c r="F24" i="5"/>
  <c r="E24" i="5"/>
  <c r="C24" i="5"/>
  <c r="H23" i="5"/>
  <c r="F23" i="5"/>
  <c r="E23" i="5"/>
  <c r="C23" i="5"/>
  <c r="H22" i="5"/>
  <c r="F22" i="5"/>
  <c r="E22" i="5"/>
  <c r="C22" i="5"/>
  <c r="H21" i="5"/>
  <c r="F21" i="5"/>
  <c r="E21" i="5"/>
  <c r="C21" i="5"/>
  <c r="H20" i="5"/>
  <c r="F20" i="5"/>
  <c r="E20" i="5"/>
  <c r="C20" i="5"/>
  <c r="H19" i="5"/>
  <c r="F19" i="5"/>
  <c r="E19" i="5"/>
  <c r="C19" i="5"/>
  <c r="H18" i="5"/>
  <c r="F18" i="5"/>
  <c r="E18" i="5"/>
  <c r="C18" i="5"/>
  <c r="H17" i="5"/>
  <c r="F17" i="5"/>
  <c r="E17" i="5"/>
  <c r="C17" i="5"/>
  <c r="H16" i="5"/>
  <c r="F16" i="5"/>
  <c r="E16" i="5"/>
  <c r="C16" i="5"/>
  <c r="H15" i="5"/>
  <c r="F15" i="5"/>
  <c r="E15" i="5"/>
  <c r="C15" i="5"/>
  <c r="H14" i="5"/>
  <c r="F14" i="5"/>
  <c r="E14" i="5"/>
  <c r="C14" i="5"/>
  <c r="H13" i="5"/>
  <c r="F13" i="5"/>
  <c r="E13" i="5"/>
  <c r="C13" i="5"/>
  <c r="H12" i="5"/>
  <c r="F12" i="5"/>
  <c r="E12" i="5"/>
  <c r="C12" i="5"/>
  <c r="H11" i="5"/>
  <c r="F11" i="5"/>
  <c r="E11" i="5"/>
  <c r="C11" i="5"/>
  <c r="H10" i="5"/>
  <c r="F10" i="5"/>
  <c r="E10" i="5"/>
  <c r="C10" i="5"/>
  <c r="H9" i="5"/>
  <c r="F9" i="5"/>
  <c r="E9" i="5"/>
  <c r="C9" i="5"/>
  <c r="H8" i="5"/>
  <c r="F8" i="5"/>
  <c r="E8" i="5"/>
  <c r="C8" i="5"/>
  <c r="H7" i="5"/>
  <c r="F7" i="5"/>
  <c r="E7" i="5"/>
  <c r="C7" i="5"/>
  <c r="H6" i="5"/>
  <c r="F6" i="5"/>
  <c r="E6" i="5"/>
  <c r="C6" i="5"/>
  <c r="H5" i="5"/>
  <c r="F5" i="5"/>
  <c r="E5" i="5"/>
  <c r="C5" i="5"/>
  <c r="H4" i="5"/>
  <c r="F4" i="5"/>
  <c r="E4" i="5"/>
  <c r="C4" i="5"/>
  <c r="H3" i="5"/>
  <c r="F3" i="5"/>
  <c r="E3" i="5"/>
  <c r="C3" i="5"/>
  <c r="B27" i="4"/>
  <c r="B26" i="4"/>
  <c r="F17" i="4"/>
  <c r="F16" i="4"/>
  <c r="F15" i="4"/>
  <c r="F14" i="4"/>
  <c r="C13" i="4"/>
  <c r="B13" i="4"/>
  <c r="B10" i="4"/>
  <c r="B9" i="4"/>
  <c r="B8" i="4"/>
  <c r="F5" i="4"/>
  <c r="B5" i="4"/>
  <c r="F4" i="4"/>
  <c r="B4" i="4"/>
  <c r="B3" i="4"/>
  <c r="B2" i="4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K1" i="3" s="1"/>
  <c r="J3" i="3"/>
  <c r="I1" i="3"/>
  <c r="G45" i="1"/>
  <c r="A45" i="1"/>
  <c r="K40" i="1"/>
  <c r="I40" i="1"/>
  <c r="G40" i="1"/>
  <c r="E40" i="1"/>
  <c r="C40" i="1"/>
  <c r="B37" i="1"/>
  <c r="K35" i="1"/>
  <c r="I35" i="1"/>
  <c r="K30" i="1"/>
  <c r="I30" i="1"/>
  <c r="C30" i="1"/>
  <c r="A27" i="1"/>
  <c r="F27" i="1" s="1"/>
  <c r="A26" i="1"/>
  <c r="D26" i="1" s="1"/>
  <c r="A25" i="1"/>
  <c r="D25" i="1" s="1"/>
  <c r="A24" i="1"/>
  <c r="E24" i="1" s="1"/>
  <c r="A23" i="1"/>
  <c r="F23" i="1" s="1"/>
  <c r="A22" i="1"/>
  <c r="D22" i="1" s="1"/>
  <c r="A21" i="1"/>
  <c r="D21" i="1" s="1"/>
  <c r="A20" i="1"/>
  <c r="E20" i="1" s="1"/>
  <c r="A19" i="1"/>
  <c r="F19" i="1" s="1"/>
  <c r="J14" i="1"/>
  <c r="G14" i="1"/>
  <c r="A14" i="1"/>
  <c r="D11" i="1"/>
  <c r="A11" i="1"/>
  <c r="J8" i="1"/>
  <c r="G8" i="1"/>
  <c r="D8" i="1"/>
  <c r="A8" i="1"/>
  <c r="J5" i="1"/>
  <c r="G5" i="1"/>
  <c r="D5" i="1"/>
  <c r="A5" i="1"/>
  <c r="A2" i="1"/>
  <c r="A35" i="1" l="1"/>
  <c r="C35" i="1"/>
  <c r="F24" i="1"/>
  <c r="F20" i="1"/>
  <c r="B21" i="1"/>
  <c r="C21" i="1"/>
  <c r="E21" i="1"/>
  <c r="F21" i="1"/>
  <c r="E45" i="1"/>
  <c r="E22" i="1"/>
  <c r="F22" i="1"/>
  <c r="B25" i="1"/>
  <c r="C25" i="1"/>
  <c r="E25" i="1"/>
  <c r="F25" i="1"/>
  <c r="H23" i="30"/>
  <c r="I45" i="1" s="1"/>
  <c r="E26" i="1"/>
  <c r="F26" i="1"/>
  <c r="F42" i="27"/>
  <c r="C37" i="10"/>
  <c r="C38" i="10" s="1"/>
  <c r="C46" i="10" s="1"/>
  <c r="F22" i="9"/>
  <c r="F23" i="9" s="1"/>
  <c r="AN31" i="8"/>
  <c r="BV31" i="8"/>
  <c r="L28" i="11"/>
  <c r="AC3" i="8"/>
  <c r="BD3" i="8"/>
  <c r="CE3" i="8"/>
  <c r="U5" i="8"/>
  <c r="AV5" i="8"/>
  <c r="BW5" i="8"/>
  <c r="CX5" i="8"/>
  <c r="AC6" i="8"/>
  <c r="BD6" i="8"/>
  <c r="CH6" i="8"/>
  <c r="AD10" i="8"/>
  <c r="BE10" i="8"/>
  <c r="CF10" i="8"/>
  <c r="AE14" i="8"/>
  <c r="BF14" i="8"/>
  <c r="CG14" i="8"/>
  <c r="AE17" i="8"/>
  <c r="BF17" i="8"/>
  <c r="CG17" i="8"/>
  <c r="E21" i="12"/>
  <c r="J21" i="12"/>
  <c r="I21" i="12"/>
  <c r="H21" i="12"/>
  <c r="G21" i="12"/>
  <c r="F21" i="12"/>
  <c r="K21" i="12"/>
  <c r="D21" i="12"/>
  <c r="C21" i="12"/>
  <c r="B21" i="12"/>
  <c r="L21" i="12" s="1"/>
  <c r="M21" i="12" s="1"/>
  <c r="CS21" i="8"/>
  <c r="BU21" i="8"/>
  <c r="AW21" i="8"/>
  <c r="Y21" i="8"/>
  <c r="CR21" i="8"/>
  <c r="BT21" i="8"/>
  <c r="AV21" i="8"/>
  <c r="X21" i="8"/>
  <c r="CQ21" i="8"/>
  <c r="BS21" i="8"/>
  <c r="AU21" i="8"/>
  <c r="W21" i="8"/>
  <c r="CP21" i="8"/>
  <c r="BR21" i="8"/>
  <c r="AT21" i="8"/>
  <c r="V21" i="8"/>
  <c r="CN21" i="8"/>
  <c r="BP21" i="8"/>
  <c r="AR21" i="8"/>
  <c r="T21" i="8"/>
  <c r="AK21" i="8"/>
  <c r="BN21" i="8"/>
  <c r="CV21" i="8"/>
  <c r="AC22" i="8"/>
  <c r="BF22" i="8"/>
  <c r="AI30" i="8"/>
  <c r="BQ30" i="8"/>
  <c r="DC30" i="8"/>
  <c r="AO31" i="8"/>
  <c r="CK40" i="8"/>
  <c r="BM40" i="8"/>
  <c r="AO40" i="8"/>
  <c r="Q40" i="8"/>
  <c r="CR40" i="8"/>
  <c r="BS40" i="8"/>
  <c r="AT40" i="8"/>
  <c r="U40" i="8"/>
  <c r="CQ40" i="8"/>
  <c r="BR40" i="8"/>
  <c r="AS40" i="8"/>
  <c r="T40" i="8"/>
  <c r="CT40" i="8"/>
  <c r="BQ40" i="8"/>
  <c r="AP40" i="8"/>
  <c r="N40" i="8"/>
  <c r="CS40" i="8"/>
  <c r="BP40" i="8"/>
  <c r="AN40" i="8"/>
  <c r="M40" i="8"/>
  <c r="CP40" i="8"/>
  <c r="BO40" i="8"/>
  <c r="AM40" i="8"/>
  <c r="L40" i="8"/>
  <c r="CJ40" i="8"/>
  <c r="BF40" i="8"/>
  <c r="AB40" i="8"/>
  <c r="CI40" i="8"/>
  <c r="BE40" i="8"/>
  <c r="AA40" i="8"/>
  <c r="CH40" i="8"/>
  <c r="BD40" i="8"/>
  <c r="Z40" i="8"/>
  <c r="CG40" i="8"/>
  <c r="BC40" i="8"/>
  <c r="Y40" i="8"/>
  <c r="CF40" i="8"/>
  <c r="BB40" i="8"/>
  <c r="X40" i="8"/>
  <c r="CE40" i="8"/>
  <c r="BA40" i="8"/>
  <c r="W40" i="8"/>
  <c r="BZ40" i="8"/>
  <c r="AV40" i="8"/>
  <c r="O40" i="8"/>
  <c r="AZ40" i="8"/>
  <c r="CW40" i="8"/>
  <c r="L266" i="11"/>
  <c r="CG31" i="8"/>
  <c r="BI31" i="8"/>
  <c r="CF31" i="8"/>
  <c r="BH31" i="8"/>
  <c r="CH31" i="8"/>
  <c r="BF31" i="8"/>
  <c r="AH31" i="8"/>
  <c r="J31" i="8"/>
  <c r="CE31" i="8"/>
  <c r="BE31" i="8"/>
  <c r="AG31" i="8"/>
  <c r="I31" i="8"/>
  <c r="CJ31" i="8"/>
  <c r="BD31" i="8"/>
  <c r="AD31" i="8"/>
  <c r="CI31" i="8"/>
  <c r="BC31" i="8"/>
  <c r="AC31" i="8"/>
  <c r="CD31" i="8"/>
  <c r="BB31" i="8"/>
  <c r="AB31" i="8"/>
  <c r="CC31" i="8"/>
  <c r="BA31" i="8"/>
  <c r="AA31" i="8"/>
  <c r="CB31" i="8"/>
  <c r="AZ31" i="8"/>
  <c r="Z31" i="8"/>
  <c r="DC31" i="8"/>
  <c r="CA31" i="8"/>
  <c r="AY31" i="8"/>
  <c r="Y31" i="8"/>
  <c r="AP31" i="8"/>
  <c r="BX31" i="8"/>
  <c r="B19" i="1"/>
  <c r="B23" i="1"/>
  <c r="B27" i="1"/>
  <c r="AM30" i="8"/>
  <c r="BS30" i="8"/>
  <c r="K31" i="8"/>
  <c r="AQ31" i="8"/>
  <c r="BY31" i="8"/>
  <c r="P7" i="6"/>
  <c r="AF3" i="8"/>
  <c r="BG3" i="8"/>
  <c r="CH3" i="8"/>
  <c r="AF6" i="8"/>
  <c r="BJ6" i="8"/>
  <c r="CK6" i="8"/>
  <c r="AG10" i="8"/>
  <c r="BH10" i="8"/>
  <c r="CI10" i="8"/>
  <c r="AH14" i="8"/>
  <c r="BI14" i="8"/>
  <c r="AH17" i="8"/>
  <c r="BI17" i="8"/>
  <c r="AN30" i="8"/>
  <c r="BT30" i="8"/>
  <c r="L31" i="8"/>
  <c r="AR31" i="8"/>
  <c r="BZ31" i="8"/>
  <c r="C19" i="1"/>
  <c r="C23" i="1"/>
  <c r="C27" i="1"/>
  <c r="D19" i="1"/>
  <c r="D23" i="1"/>
  <c r="D27" i="1"/>
  <c r="C45" i="1"/>
  <c r="AG3" i="8"/>
  <c r="BH3" i="8"/>
  <c r="CI3" i="8"/>
  <c r="AG6" i="8"/>
  <c r="BK6" i="8"/>
  <c r="CL6" i="8"/>
  <c r="AH10" i="8"/>
  <c r="BI10" i="8"/>
  <c r="CW14" i="8"/>
  <c r="BY14" i="8"/>
  <c r="BA14" i="8"/>
  <c r="AC14" i="8"/>
  <c r="CV14" i="8"/>
  <c r="BX14" i="8"/>
  <c r="AZ14" i="8"/>
  <c r="AB14" i="8"/>
  <c r="CU14" i="8"/>
  <c r="BW14" i="8"/>
  <c r="AY14" i="8"/>
  <c r="AA14" i="8"/>
  <c r="AI14" i="8"/>
  <c r="BJ14" i="8"/>
  <c r="CK14" i="8"/>
  <c r="CK17" i="8"/>
  <c r="BM17" i="8"/>
  <c r="AO17" i="8"/>
  <c r="Q17" i="8"/>
  <c r="CJ17" i="8"/>
  <c r="BL17" i="8"/>
  <c r="AN17" i="8"/>
  <c r="P17" i="8"/>
  <c r="CI17" i="8"/>
  <c r="BK17" i="8"/>
  <c r="AM17" i="8"/>
  <c r="O17" i="8"/>
  <c r="AI17" i="8"/>
  <c r="BJ17" i="8"/>
  <c r="CN17" i="8"/>
  <c r="AO30" i="8"/>
  <c r="M31" i="8"/>
  <c r="AS31" i="8"/>
  <c r="CK31" i="8"/>
  <c r="E19" i="1"/>
  <c r="E23" i="1"/>
  <c r="E27" i="1"/>
  <c r="AH3" i="8"/>
  <c r="BI3" i="8"/>
  <c r="AH6" i="8"/>
  <c r="BL6" i="8"/>
  <c r="CO10" i="8"/>
  <c r="BQ10" i="8"/>
  <c r="AS10" i="8"/>
  <c r="U10" i="8"/>
  <c r="CN10" i="8"/>
  <c r="BP10" i="8"/>
  <c r="AR10" i="8"/>
  <c r="T10" i="8"/>
  <c r="CM10" i="8"/>
  <c r="BO10" i="8"/>
  <c r="AQ10" i="8"/>
  <c r="S10" i="8"/>
  <c r="AI10" i="8"/>
  <c r="BJ10" i="8"/>
  <c r="CK10" i="8"/>
  <c r="I14" i="8"/>
  <c r="AJ14" i="8"/>
  <c r="BK14" i="8"/>
  <c r="CL14" i="8"/>
  <c r="I17" i="8"/>
  <c r="AJ17" i="8"/>
  <c r="BN17" i="8"/>
  <c r="CO17" i="8"/>
  <c r="CH30" i="8"/>
  <c r="BJ30" i="8"/>
  <c r="AL30" i="8"/>
  <c r="N30" i="8"/>
  <c r="CG30" i="8"/>
  <c r="BI30" i="8"/>
  <c r="AK30" i="8"/>
  <c r="M30" i="8"/>
  <c r="CZ30" i="8"/>
  <c r="BZ30" i="8"/>
  <c r="AZ30" i="8"/>
  <c r="Z30" i="8"/>
  <c r="CY30" i="8"/>
  <c r="BY30" i="8"/>
  <c r="AY30" i="8"/>
  <c r="Y30" i="8"/>
  <c r="CX30" i="8"/>
  <c r="BX30" i="8"/>
  <c r="AX30" i="8"/>
  <c r="X30" i="8"/>
  <c r="CW30" i="8"/>
  <c r="BW30" i="8"/>
  <c r="AW30" i="8"/>
  <c r="W30" i="8"/>
  <c r="CV30" i="8"/>
  <c r="BV30" i="8"/>
  <c r="AV30" i="8"/>
  <c r="V30" i="8"/>
  <c r="CU30" i="8"/>
  <c r="BU30" i="8"/>
  <c r="AU30" i="8"/>
  <c r="U30" i="8"/>
  <c r="AP30" i="8"/>
  <c r="CB30" i="8"/>
  <c r="N31" i="8"/>
  <c r="AT31" i="8"/>
  <c r="CL31" i="8"/>
  <c r="CS3" i="8"/>
  <c r="BU3" i="8"/>
  <c r="AW3" i="8"/>
  <c r="Y3" i="8"/>
  <c r="CR3" i="8"/>
  <c r="BT3" i="8"/>
  <c r="AV3" i="8"/>
  <c r="X3" i="8"/>
  <c r="CQ3" i="8"/>
  <c r="BS3" i="8"/>
  <c r="AU3" i="8"/>
  <c r="W3" i="8"/>
  <c r="J19" i="12"/>
  <c r="AI3" i="8"/>
  <c r="BJ3" i="8"/>
  <c r="CK3" i="8"/>
  <c r="CG6" i="8"/>
  <c r="BI6" i="8"/>
  <c r="AK6" i="8"/>
  <c r="M6" i="8"/>
  <c r="CF6" i="8"/>
  <c r="BH6" i="8"/>
  <c r="AJ6" i="8"/>
  <c r="L6" i="8"/>
  <c r="DC6" i="8"/>
  <c r="CE6" i="8"/>
  <c r="BG6" i="8"/>
  <c r="AI6" i="8"/>
  <c r="K6" i="8"/>
  <c r="AL6" i="8"/>
  <c r="BM6" i="8"/>
  <c r="CN6" i="8"/>
  <c r="AJ10" i="8"/>
  <c r="BK10" i="8"/>
  <c r="CL10" i="8"/>
  <c r="J14" i="8"/>
  <c r="AK14" i="8"/>
  <c r="BL14" i="8"/>
  <c r="CM14" i="8"/>
  <c r="J17" i="8"/>
  <c r="AK17" i="8"/>
  <c r="BO17" i="8"/>
  <c r="CP17" i="8"/>
  <c r="O31" i="8"/>
  <c r="AU31" i="8"/>
  <c r="CM31" i="8"/>
  <c r="AJ3" i="8"/>
  <c r="BK3" i="8"/>
  <c r="CL3" i="8"/>
  <c r="AM6" i="8"/>
  <c r="BN6" i="8"/>
  <c r="CO6" i="8"/>
  <c r="J10" i="8"/>
  <c r="AK10" i="8"/>
  <c r="BL10" i="8"/>
  <c r="CP10" i="8"/>
  <c r="K14" i="8"/>
  <c r="AL14" i="8"/>
  <c r="BM14" i="8"/>
  <c r="CN14" i="8"/>
  <c r="K17" i="8"/>
  <c r="AL17" i="8"/>
  <c r="BP17" i="8"/>
  <c r="CQ17" i="8"/>
  <c r="J30" i="8"/>
  <c r="AR30" i="8"/>
  <c r="CD30" i="8"/>
  <c r="P31" i="8"/>
  <c r="AV31" i="8"/>
  <c r="CN31" i="8"/>
  <c r="B20" i="1"/>
  <c r="B24" i="1"/>
  <c r="J3" i="8"/>
  <c r="AK3" i="8"/>
  <c r="BL3" i="8"/>
  <c r="CM3" i="8"/>
  <c r="AC5" i="8"/>
  <c r="BD5" i="8"/>
  <c r="CE5" i="8"/>
  <c r="J6" i="8"/>
  <c r="AN6" i="8"/>
  <c r="BO6" i="8"/>
  <c r="CP6" i="8"/>
  <c r="K10" i="8"/>
  <c r="AL10" i="8"/>
  <c r="BM10" i="8"/>
  <c r="CQ10" i="8"/>
  <c r="L14" i="8"/>
  <c r="AM14" i="8"/>
  <c r="BN14" i="8"/>
  <c r="CO14" i="8"/>
  <c r="L17" i="8"/>
  <c r="AP17" i="8"/>
  <c r="BQ17" i="8"/>
  <c r="CR17" i="8"/>
  <c r="H22" i="12"/>
  <c r="J22" i="12"/>
  <c r="G22" i="12"/>
  <c r="F22" i="12"/>
  <c r="E22" i="12"/>
  <c r="D22" i="12"/>
  <c r="K22" i="12"/>
  <c r="I22" i="12"/>
  <c r="C22" i="12"/>
  <c r="CO22" i="8"/>
  <c r="BQ22" i="8"/>
  <c r="AS22" i="8"/>
  <c r="U22" i="8"/>
  <c r="CN22" i="8"/>
  <c r="BP22" i="8"/>
  <c r="AR22" i="8"/>
  <c r="T22" i="8"/>
  <c r="CM22" i="8"/>
  <c r="BO22" i="8"/>
  <c r="AQ22" i="8"/>
  <c r="S22" i="8"/>
  <c r="CL22" i="8"/>
  <c r="BN22" i="8"/>
  <c r="AP22" i="8"/>
  <c r="R22" i="8"/>
  <c r="CJ22" i="8"/>
  <c r="BL22" i="8"/>
  <c r="AN22" i="8"/>
  <c r="P22" i="8"/>
  <c r="B22" i="12"/>
  <c r="AK22" i="8"/>
  <c r="BS22" i="8"/>
  <c r="CV22" i="8"/>
  <c r="K30" i="8"/>
  <c r="AS30" i="8"/>
  <c r="CE30" i="8"/>
  <c r="Q31" i="8"/>
  <c r="AW31" i="8"/>
  <c r="CO31" i="8"/>
  <c r="CG35" i="8"/>
  <c r="BI35" i="8"/>
  <c r="CQ35" i="8"/>
  <c r="BR35" i="8"/>
  <c r="AS35" i="8"/>
  <c r="U35" i="8"/>
  <c r="CP35" i="8"/>
  <c r="BQ35" i="8"/>
  <c r="AR35" i="8"/>
  <c r="T35" i="8"/>
  <c r="DA35" i="8"/>
  <c r="BZ35" i="8"/>
  <c r="AY35" i="8"/>
  <c r="Y35" i="8"/>
  <c r="CZ35" i="8"/>
  <c r="BY35" i="8"/>
  <c r="AX35" i="8"/>
  <c r="X35" i="8"/>
  <c r="CY35" i="8"/>
  <c r="BX35" i="8"/>
  <c r="AW35" i="8"/>
  <c r="W35" i="8"/>
  <c r="CL35" i="8"/>
  <c r="BG35" i="8"/>
  <c r="AD35" i="8"/>
  <c r="CK35" i="8"/>
  <c r="BF35" i="8"/>
  <c r="AC35" i="8"/>
  <c r="CJ35" i="8"/>
  <c r="BE35" i="8"/>
  <c r="AB35" i="8"/>
  <c r="CI35" i="8"/>
  <c r="BD35" i="8"/>
  <c r="AA35" i="8"/>
  <c r="CH35" i="8"/>
  <c r="BC35" i="8"/>
  <c r="Z35" i="8"/>
  <c r="CF35" i="8"/>
  <c r="BB35" i="8"/>
  <c r="V35" i="8"/>
  <c r="CA35" i="8"/>
  <c r="AT35" i="8"/>
  <c r="O35" i="8"/>
  <c r="AU35" i="8"/>
  <c r="CR35" i="8"/>
  <c r="AC40" i="8"/>
  <c r="BT40" i="8"/>
  <c r="C20" i="1"/>
  <c r="K3" i="8"/>
  <c r="AL3" i="8"/>
  <c r="BM3" i="8"/>
  <c r="CN3" i="8"/>
  <c r="AD5" i="8"/>
  <c r="BE5" i="8"/>
  <c r="CF5" i="8"/>
  <c r="N6" i="8"/>
  <c r="AO6" i="8"/>
  <c r="BP6" i="8"/>
  <c r="CQ6" i="8"/>
  <c r="L10" i="8"/>
  <c r="AM10" i="8"/>
  <c r="BN10" i="8"/>
  <c r="CR10" i="8"/>
  <c r="M14" i="8"/>
  <c r="AN14" i="8"/>
  <c r="BO14" i="8"/>
  <c r="CP14" i="8"/>
  <c r="M17" i="8"/>
  <c r="AQ17" i="8"/>
  <c r="BR17" i="8"/>
  <c r="CS17" i="8"/>
  <c r="Q21" i="8"/>
  <c r="AY21" i="8"/>
  <c r="CB21" i="8"/>
  <c r="I22" i="8"/>
  <c r="AL22" i="8"/>
  <c r="BT22" i="8"/>
  <c r="CW22" i="8"/>
  <c r="CL29" i="8"/>
  <c r="BN29" i="8"/>
  <c r="AP29" i="8"/>
  <c r="R29" i="8"/>
  <c r="CK29" i="8"/>
  <c r="BM29" i="8"/>
  <c r="AO29" i="8"/>
  <c r="Q29" i="8"/>
  <c r="CV29" i="8"/>
  <c r="BV29" i="8"/>
  <c r="AV29" i="8"/>
  <c r="V29" i="8"/>
  <c r="CU29" i="8"/>
  <c r="BU29" i="8"/>
  <c r="AU29" i="8"/>
  <c r="U29" i="8"/>
  <c r="CT29" i="8"/>
  <c r="BT29" i="8"/>
  <c r="AT29" i="8"/>
  <c r="T29" i="8"/>
  <c r="CS29" i="8"/>
  <c r="BS29" i="8"/>
  <c r="AS29" i="8"/>
  <c r="S29" i="8"/>
  <c r="CR29" i="8"/>
  <c r="BR29" i="8"/>
  <c r="AR29" i="8"/>
  <c r="P29" i="8"/>
  <c r="CQ29" i="8"/>
  <c r="BQ29" i="8"/>
  <c r="AQ29" i="8"/>
  <c r="O29" i="8"/>
  <c r="AN29" i="8"/>
  <c r="CB29" i="8"/>
  <c r="L30" i="8"/>
  <c r="AT30" i="8"/>
  <c r="CF30" i="8"/>
  <c r="R31" i="8"/>
  <c r="AX31" i="8"/>
  <c r="CP31" i="8"/>
  <c r="I35" i="8"/>
  <c r="AV35" i="8"/>
  <c r="CS35" i="8"/>
  <c r="AD40" i="8"/>
  <c r="BU40" i="8"/>
  <c r="C24" i="1"/>
  <c r="D20" i="1"/>
  <c r="D24" i="1"/>
  <c r="L3" i="8"/>
  <c r="AM3" i="8"/>
  <c r="BN3" i="8"/>
  <c r="CO3" i="8"/>
  <c r="AE5" i="8"/>
  <c r="BF5" i="8"/>
  <c r="CG5" i="8"/>
  <c r="O6" i="8"/>
  <c r="AP6" i="8"/>
  <c r="BQ6" i="8"/>
  <c r="CR6" i="8"/>
  <c r="M10" i="8"/>
  <c r="AN10" i="8"/>
  <c r="BR10" i="8"/>
  <c r="CS10" i="8"/>
  <c r="N14" i="8"/>
  <c r="AO14" i="8"/>
  <c r="BP14" i="8"/>
  <c r="CQ14" i="8"/>
  <c r="AG16" i="8"/>
  <c r="BH16" i="8"/>
  <c r="CI16" i="8"/>
  <c r="N17" i="8"/>
  <c r="AR17" i="8"/>
  <c r="BS17" i="8"/>
  <c r="CT17" i="8"/>
  <c r="AH20" i="8"/>
  <c r="BI20" i="8"/>
  <c r="R21" i="8"/>
  <c r="AZ21" i="8"/>
  <c r="CC21" i="8"/>
  <c r="J22" i="8"/>
  <c r="AM22" i="8"/>
  <c r="BU22" i="8"/>
  <c r="CX22" i="8"/>
  <c r="AW29" i="8"/>
  <c r="CC29" i="8"/>
  <c r="O30" i="8"/>
  <c r="BA30" i="8"/>
  <c r="CI30" i="8"/>
  <c r="S31" i="8"/>
  <c r="BG31" i="8"/>
  <c r="CQ31" i="8"/>
  <c r="J35" i="8"/>
  <c r="AZ35" i="8"/>
  <c r="CT35" i="8"/>
  <c r="AE40" i="8"/>
  <c r="BV40" i="8"/>
  <c r="M3" i="8"/>
  <c r="AN3" i="8"/>
  <c r="BO3" i="8"/>
  <c r="CP3" i="8"/>
  <c r="AF5" i="8"/>
  <c r="BG5" i="8"/>
  <c r="CH5" i="8"/>
  <c r="P6" i="8"/>
  <c r="AQ6" i="8"/>
  <c r="BR6" i="8"/>
  <c r="CS6" i="8"/>
  <c r="N10" i="8"/>
  <c r="AO10" i="8"/>
  <c r="BS10" i="8"/>
  <c r="CT10" i="8"/>
  <c r="O14" i="8"/>
  <c r="AP14" i="8"/>
  <c r="BQ14" i="8"/>
  <c r="CR14" i="8"/>
  <c r="AH16" i="8"/>
  <c r="BI16" i="8"/>
  <c r="R17" i="8"/>
  <c r="AS17" i="8"/>
  <c r="BT17" i="8"/>
  <c r="CU17" i="8"/>
  <c r="H20" i="12"/>
  <c r="G20" i="12"/>
  <c r="B20" i="12"/>
  <c r="K20" i="12"/>
  <c r="CW20" i="8"/>
  <c r="BY20" i="8"/>
  <c r="BA20" i="8"/>
  <c r="AC20" i="8"/>
  <c r="CV20" i="8"/>
  <c r="BX20" i="8"/>
  <c r="AZ20" i="8"/>
  <c r="AB20" i="8"/>
  <c r="CU20" i="8"/>
  <c r="BW20" i="8"/>
  <c r="AY20" i="8"/>
  <c r="AA20" i="8"/>
  <c r="CT20" i="8"/>
  <c r="CR20" i="8"/>
  <c r="BT20" i="8"/>
  <c r="J20" i="12"/>
  <c r="I20" i="12"/>
  <c r="F20" i="12"/>
  <c r="E20" i="12"/>
  <c r="D20" i="12"/>
  <c r="C20" i="12"/>
  <c r="AI20" i="8"/>
  <c r="BJ20" i="8"/>
  <c r="CL20" i="8"/>
  <c r="S21" i="8"/>
  <c r="BA21" i="8"/>
  <c r="CD21" i="8"/>
  <c r="K22" i="8"/>
  <c r="AO22" i="8"/>
  <c r="BV22" i="8"/>
  <c r="CY22" i="8"/>
  <c r="J29" i="8"/>
  <c r="AX29" i="8"/>
  <c r="CD29" i="8"/>
  <c r="P30" i="8"/>
  <c r="BB30" i="8"/>
  <c r="CJ30" i="8"/>
  <c r="T31" i="8"/>
  <c r="BJ31" i="8"/>
  <c r="CR31" i="8"/>
  <c r="K35" i="8"/>
  <c r="BA35" i="8"/>
  <c r="CU35" i="8"/>
  <c r="AF40" i="8"/>
  <c r="BW40" i="8"/>
  <c r="F38" i="9"/>
  <c r="F52" i="9" s="1"/>
  <c r="N3" i="8"/>
  <c r="AO3" i="8"/>
  <c r="BP3" i="8"/>
  <c r="CT3" i="8"/>
  <c r="AG5" i="8"/>
  <c r="BH5" i="8"/>
  <c r="CL5" i="8"/>
  <c r="Q6" i="8"/>
  <c r="AR6" i="8"/>
  <c r="BS6" i="8"/>
  <c r="CT6" i="8"/>
  <c r="O10" i="8"/>
  <c r="AP10" i="8"/>
  <c r="BT10" i="8"/>
  <c r="CU10" i="8"/>
  <c r="P14" i="8"/>
  <c r="AQ14" i="8"/>
  <c r="BR14" i="8"/>
  <c r="CS14" i="8"/>
  <c r="CO16" i="8"/>
  <c r="BQ16" i="8"/>
  <c r="AS16" i="8"/>
  <c r="U16" i="8"/>
  <c r="CN16" i="8"/>
  <c r="BP16" i="8"/>
  <c r="AR16" i="8"/>
  <c r="T16" i="8"/>
  <c r="CM16" i="8"/>
  <c r="BO16" i="8"/>
  <c r="AQ16" i="8"/>
  <c r="S16" i="8"/>
  <c r="AI16" i="8"/>
  <c r="BJ16" i="8"/>
  <c r="CK16" i="8"/>
  <c r="S17" i="8"/>
  <c r="AT17" i="8"/>
  <c r="BU17" i="8"/>
  <c r="CV17" i="8"/>
  <c r="CM20" i="8"/>
  <c r="U21" i="8"/>
  <c r="BB21" i="8"/>
  <c r="CE21" i="8"/>
  <c r="L22" i="8"/>
  <c r="AT22" i="8"/>
  <c r="BW22" i="8"/>
  <c r="CZ22" i="8"/>
  <c r="K29" i="8"/>
  <c r="AY29" i="8"/>
  <c r="CE29" i="8"/>
  <c r="Q30" i="8"/>
  <c r="BC30" i="8"/>
  <c r="CK30" i="8"/>
  <c r="U31" i="8"/>
  <c r="BK31" i="8"/>
  <c r="CS31" i="8"/>
  <c r="L35" i="8"/>
  <c r="BH35" i="8"/>
  <c r="CV35" i="8"/>
  <c r="AG40" i="8"/>
  <c r="BX40" i="8"/>
  <c r="B32" i="1"/>
  <c r="O3" i="8"/>
  <c r="AP3" i="8"/>
  <c r="BQ3" i="8"/>
  <c r="CU3" i="8"/>
  <c r="AH5" i="8"/>
  <c r="BI5" i="8"/>
  <c r="R6" i="8"/>
  <c r="AS6" i="8"/>
  <c r="BT6" i="8"/>
  <c r="CU6" i="8"/>
  <c r="CS9" i="8"/>
  <c r="BU9" i="8"/>
  <c r="AW9" i="8"/>
  <c r="Y9" i="8"/>
  <c r="CR9" i="8"/>
  <c r="BT9" i="8"/>
  <c r="AV9" i="8"/>
  <c r="X9" i="8"/>
  <c r="CQ9" i="8"/>
  <c r="BS9" i="8"/>
  <c r="AU9" i="8"/>
  <c r="W9" i="8"/>
  <c r="AI9" i="8"/>
  <c r="BJ9" i="8"/>
  <c r="CK9" i="8"/>
  <c r="P10" i="8"/>
  <c r="AT10" i="8"/>
  <c r="BU10" i="8"/>
  <c r="CV10" i="8"/>
  <c r="CG12" i="8"/>
  <c r="BI12" i="8"/>
  <c r="AK12" i="8"/>
  <c r="M12" i="8"/>
  <c r="CF12" i="8"/>
  <c r="BH12" i="8"/>
  <c r="AJ12" i="8"/>
  <c r="L12" i="8"/>
  <c r="DC12" i="8"/>
  <c r="CE12" i="8"/>
  <c r="BG12" i="8"/>
  <c r="AI12" i="8"/>
  <c r="K12" i="8"/>
  <c r="AL12" i="8"/>
  <c r="BM12" i="8"/>
  <c r="CN12" i="8"/>
  <c r="Q14" i="8"/>
  <c r="AR14" i="8"/>
  <c r="BS14" i="8"/>
  <c r="CT14" i="8"/>
  <c r="I16" i="8"/>
  <c r="AJ16" i="8"/>
  <c r="BK16" i="8"/>
  <c r="CL16" i="8"/>
  <c r="T17" i="8"/>
  <c r="AU17" i="8"/>
  <c r="BV17" i="8"/>
  <c r="CW17" i="8"/>
  <c r="J20" i="8"/>
  <c r="AK20" i="8"/>
  <c r="BL20" i="8"/>
  <c r="CN20" i="8"/>
  <c r="Z21" i="8"/>
  <c r="BC21" i="8"/>
  <c r="CF21" i="8"/>
  <c r="M22" i="8"/>
  <c r="AU22" i="8"/>
  <c r="BX22" i="8"/>
  <c r="DA22" i="8"/>
  <c r="H28" i="12"/>
  <c r="K28" i="12"/>
  <c r="G28" i="12"/>
  <c r="F28" i="12"/>
  <c r="C28" i="12"/>
  <c r="B28" i="12"/>
  <c r="D28" i="12"/>
  <c r="CP28" i="8"/>
  <c r="BR28" i="8"/>
  <c r="AT28" i="8"/>
  <c r="V28" i="8"/>
  <c r="CO28" i="8"/>
  <c r="BQ28" i="8"/>
  <c r="AS28" i="8"/>
  <c r="U28" i="8"/>
  <c r="J28" i="12"/>
  <c r="I28" i="12"/>
  <c r="E28" i="12"/>
  <c r="CR28" i="8"/>
  <c r="BP28" i="8"/>
  <c r="AP28" i="8"/>
  <c r="P28" i="8"/>
  <c r="CQ28" i="8"/>
  <c r="BO28" i="8"/>
  <c r="AO28" i="8"/>
  <c r="O28" i="8"/>
  <c r="CN28" i="8"/>
  <c r="BN28" i="8"/>
  <c r="AN28" i="8"/>
  <c r="N28" i="8"/>
  <c r="CM28" i="8"/>
  <c r="BM28" i="8"/>
  <c r="AM28" i="8"/>
  <c r="M28" i="8"/>
  <c r="CL28" i="8"/>
  <c r="BL28" i="8"/>
  <c r="AL28" i="8"/>
  <c r="L28" i="8"/>
  <c r="CK28" i="8"/>
  <c r="BK28" i="8"/>
  <c r="AK28" i="8"/>
  <c r="K28" i="8"/>
  <c r="AV28" i="8"/>
  <c r="CB28" i="8"/>
  <c r="L29" i="8"/>
  <c r="AZ29" i="8"/>
  <c r="CF29" i="8"/>
  <c r="R30" i="8"/>
  <c r="BD30" i="8"/>
  <c r="CL30" i="8"/>
  <c r="V31" i="8"/>
  <c r="BL31" i="8"/>
  <c r="CT31" i="8"/>
  <c r="M35" i="8"/>
  <c r="BJ35" i="8"/>
  <c r="CW35" i="8"/>
  <c r="AU39" i="8"/>
  <c r="AH40" i="8"/>
  <c r="BY40" i="8"/>
  <c r="DA42" i="8"/>
  <c r="CC42" i="8"/>
  <c r="BE42" i="8"/>
  <c r="AG42" i="8"/>
  <c r="CV42" i="8"/>
  <c r="BX42" i="8"/>
  <c r="AZ42" i="8"/>
  <c r="AB42" i="8"/>
  <c r="CU42" i="8"/>
  <c r="BU42" i="8"/>
  <c r="AU42" i="8"/>
  <c r="U42" i="8"/>
  <c r="CT42" i="8"/>
  <c r="BT42" i="8"/>
  <c r="AT42" i="8"/>
  <c r="T42" i="8"/>
  <c r="CM42" i="8"/>
  <c r="BK42" i="8"/>
  <c r="AI42" i="8"/>
  <c r="CL42" i="8"/>
  <c r="BJ42" i="8"/>
  <c r="AH42" i="8"/>
  <c r="CK42" i="8"/>
  <c r="BI42" i="8"/>
  <c r="AF42" i="8"/>
  <c r="CB42" i="8"/>
  <c r="AV42" i="8"/>
  <c r="O42" i="8"/>
  <c r="CA42" i="8"/>
  <c r="AS42" i="8"/>
  <c r="N42" i="8"/>
  <c r="BZ42" i="8"/>
  <c r="AR42" i="8"/>
  <c r="M42" i="8"/>
  <c r="BY42" i="8"/>
  <c r="AQ42" i="8"/>
  <c r="L42" i="8"/>
  <c r="BW42" i="8"/>
  <c r="AP42" i="8"/>
  <c r="K42" i="8"/>
  <c r="DC42" i="8"/>
  <c r="BV42" i="8"/>
  <c r="AO42" i="8"/>
  <c r="J42" i="8"/>
  <c r="CX42" i="8"/>
  <c r="BP42" i="8"/>
  <c r="AK42" i="8"/>
  <c r="CW42" i="8"/>
  <c r="BO42" i="8"/>
  <c r="AJ42" i="8"/>
  <c r="CP42" i="8"/>
  <c r="BH42" i="8"/>
  <c r="AA42" i="8"/>
  <c r="BF42" i="8"/>
  <c r="P3" i="8"/>
  <c r="AQ3" i="8"/>
  <c r="BR3" i="8"/>
  <c r="CV3" i="8"/>
  <c r="CK5" i="8"/>
  <c r="BM5" i="8"/>
  <c r="AO5" i="8"/>
  <c r="Q5" i="8"/>
  <c r="CJ5" i="8"/>
  <c r="BL5" i="8"/>
  <c r="AN5" i="8"/>
  <c r="P5" i="8"/>
  <c r="CI5" i="8"/>
  <c r="BK5" i="8"/>
  <c r="AM5" i="8"/>
  <c r="O5" i="8"/>
  <c r="AI5" i="8"/>
  <c r="BJ5" i="8"/>
  <c r="CN5" i="8"/>
  <c r="S6" i="8"/>
  <c r="AT6" i="8"/>
  <c r="BU6" i="8"/>
  <c r="CV6" i="8"/>
  <c r="Q10" i="8"/>
  <c r="AU10" i="8"/>
  <c r="BV10" i="8"/>
  <c r="CW10" i="8"/>
  <c r="R14" i="8"/>
  <c r="AS14" i="8"/>
  <c r="BT14" i="8"/>
  <c r="CX14" i="8"/>
  <c r="J16" i="8"/>
  <c r="AK16" i="8"/>
  <c r="BL16" i="8"/>
  <c r="CP16" i="8"/>
  <c r="U17" i="8"/>
  <c r="AV17" i="8"/>
  <c r="BW17" i="8"/>
  <c r="CX17" i="8"/>
  <c r="K20" i="8"/>
  <c r="AL20" i="8"/>
  <c r="BM20" i="8"/>
  <c r="CO20" i="8"/>
  <c r="AA21" i="8"/>
  <c r="BD21" i="8"/>
  <c r="CG21" i="8"/>
  <c r="N22" i="8"/>
  <c r="AV22" i="8"/>
  <c r="BY22" i="8"/>
  <c r="DB22" i="8"/>
  <c r="M29" i="8"/>
  <c r="BA29" i="8"/>
  <c r="CG29" i="8"/>
  <c r="S30" i="8"/>
  <c r="BE30" i="8"/>
  <c r="CM30" i="8"/>
  <c r="W31" i="8"/>
  <c r="BM31" i="8"/>
  <c r="CU31" i="8"/>
  <c r="N35" i="8"/>
  <c r="BK35" i="8"/>
  <c r="CX35" i="8"/>
  <c r="CO39" i="8"/>
  <c r="BQ39" i="8"/>
  <c r="AS39" i="8"/>
  <c r="U39" i="8"/>
  <c r="CR39" i="8"/>
  <c r="BS39" i="8"/>
  <c r="AT39" i="8"/>
  <c r="T39" i="8"/>
  <c r="CQ39" i="8"/>
  <c r="BR39" i="8"/>
  <c r="AR39" i="8"/>
  <c r="S39" i="8"/>
  <c r="CI39" i="8"/>
  <c r="BH39" i="8"/>
  <c r="AG39" i="8"/>
  <c r="CH39" i="8"/>
  <c r="BG39" i="8"/>
  <c r="AF39" i="8"/>
  <c r="CG39" i="8"/>
  <c r="BF39" i="8"/>
  <c r="AE39" i="8"/>
  <c r="CT39" i="8"/>
  <c r="BM39" i="8"/>
  <c r="AI39" i="8"/>
  <c r="CS39" i="8"/>
  <c r="BL39" i="8"/>
  <c r="AH39" i="8"/>
  <c r="CP39" i="8"/>
  <c r="BK39" i="8"/>
  <c r="AD39" i="8"/>
  <c r="CN39" i="8"/>
  <c r="BJ39" i="8"/>
  <c r="AC39" i="8"/>
  <c r="CM39" i="8"/>
  <c r="BI39" i="8"/>
  <c r="AB39" i="8"/>
  <c r="CL39" i="8"/>
  <c r="BE39" i="8"/>
  <c r="AA39" i="8"/>
  <c r="CD39" i="8"/>
  <c r="AZ39" i="8"/>
  <c r="V39" i="8"/>
  <c r="AV39" i="8"/>
  <c r="CK39" i="8"/>
  <c r="AI40" i="8"/>
  <c r="CA40" i="8"/>
  <c r="P3" i="6"/>
  <c r="Q3" i="8"/>
  <c r="AR3" i="8"/>
  <c r="BV3" i="8"/>
  <c r="CW3" i="8"/>
  <c r="T6" i="8"/>
  <c r="AU6" i="8"/>
  <c r="BV6" i="8"/>
  <c r="CW6" i="8"/>
  <c r="R10" i="8"/>
  <c r="AV10" i="8"/>
  <c r="BW10" i="8"/>
  <c r="CX10" i="8"/>
  <c r="S14" i="8"/>
  <c r="AT14" i="8"/>
  <c r="BU14" i="8"/>
  <c r="CY14" i="8"/>
  <c r="V17" i="8"/>
  <c r="AW17" i="8"/>
  <c r="BX17" i="8"/>
  <c r="CY17" i="8"/>
  <c r="L20" i="8"/>
  <c r="AM20" i="8"/>
  <c r="BN20" i="8"/>
  <c r="CP20" i="8"/>
  <c r="AB21" i="8"/>
  <c r="BE21" i="8"/>
  <c r="CH21" i="8"/>
  <c r="O22" i="8"/>
  <c r="AW22" i="8"/>
  <c r="BZ22" i="8"/>
  <c r="DC22" i="8"/>
  <c r="N29" i="8"/>
  <c r="BB29" i="8"/>
  <c r="CH29" i="8"/>
  <c r="T30" i="8"/>
  <c r="BF30" i="8"/>
  <c r="CN30" i="8"/>
  <c r="X31" i="8"/>
  <c r="BN31" i="8"/>
  <c r="CV31" i="8"/>
  <c r="P35" i="8"/>
  <c r="BL35" i="8"/>
  <c r="DB35" i="8"/>
  <c r="AJ40" i="8"/>
  <c r="CB40" i="8"/>
  <c r="R3" i="8"/>
  <c r="AS3" i="8"/>
  <c r="BW3" i="8"/>
  <c r="CX3" i="8"/>
  <c r="J5" i="8"/>
  <c r="AK5" i="8"/>
  <c r="BO5" i="8"/>
  <c r="CP5" i="8"/>
  <c r="U6" i="8"/>
  <c r="AV6" i="8"/>
  <c r="BW6" i="8"/>
  <c r="CX6" i="8"/>
  <c r="K9" i="8"/>
  <c r="AL9" i="8"/>
  <c r="BM9" i="8"/>
  <c r="CN9" i="8"/>
  <c r="V10" i="8"/>
  <c r="AW10" i="8"/>
  <c r="BX10" i="8"/>
  <c r="CY10" i="8"/>
  <c r="N12" i="8"/>
  <c r="AO12" i="8"/>
  <c r="BP12" i="8"/>
  <c r="CQ12" i="8"/>
  <c r="T14" i="8"/>
  <c r="AU14" i="8"/>
  <c r="BV14" i="8"/>
  <c r="CZ14" i="8"/>
  <c r="L16" i="8"/>
  <c r="AM16" i="8"/>
  <c r="BN16" i="8"/>
  <c r="CR16" i="8"/>
  <c r="W17" i="8"/>
  <c r="AX17" i="8"/>
  <c r="BY17" i="8"/>
  <c r="CZ17" i="8"/>
  <c r="M20" i="8"/>
  <c r="AN20" i="8"/>
  <c r="BO20" i="8"/>
  <c r="CQ20" i="8"/>
  <c r="AC21" i="8"/>
  <c r="BF21" i="8"/>
  <c r="CI21" i="8"/>
  <c r="Q22" i="8"/>
  <c r="AX22" i="8"/>
  <c r="CA22" i="8"/>
  <c r="E23" i="12"/>
  <c r="C23" i="12"/>
  <c r="B23" i="12"/>
  <c r="K23" i="12"/>
  <c r="H23" i="12"/>
  <c r="G23" i="12"/>
  <c r="I23" i="12"/>
  <c r="F23" i="12"/>
  <c r="D23" i="12"/>
  <c r="CK23" i="8"/>
  <c r="BM23" i="8"/>
  <c r="AO23" i="8"/>
  <c r="Q23" i="8"/>
  <c r="CJ23" i="8"/>
  <c r="BL23" i="8"/>
  <c r="AN23" i="8"/>
  <c r="P23" i="8"/>
  <c r="CI23" i="8"/>
  <c r="BK23" i="8"/>
  <c r="AM23" i="8"/>
  <c r="O23" i="8"/>
  <c r="CH23" i="8"/>
  <c r="BJ23" i="8"/>
  <c r="AL23" i="8"/>
  <c r="N23" i="8"/>
  <c r="CG23" i="8"/>
  <c r="BI23" i="8"/>
  <c r="CF23" i="8"/>
  <c r="BH23" i="8"/>
  <c r="AJ23" i="8"/>
  <c r="L23" i="8"/>
  <c r="J23" i="12"/>
  <c r="AP23" i="8"/>
  <c r="BT23" i="8"/>
  <c r="CX23" i="8"/>
  <c r="Q28" i="8"/>
  <c r="AY28" i="8"/>
  <c r="CE28" i="8"/>
  <c r="W29" i="8"/>
  <c r="BC29" i="8"/>
  <c r="CI29" i="8"/>
  <c r="AA30" i="8"/>
  <c r="BG30" i="8"/>
  <c r="CO30" i="8"/>
  <c r="AE31" i="8"/>
  <c r="BO31" i="8"/>
  <c r="CW31" i="8"/>
  <c r="AY33" i="8"/>
  <c r="Q35" i="8"/>
  <c r="BM35" i="8"/>
  <c r="DC35" i="8"/>
  <c r="BB36" i="8"/>
  <c r="J39" i="8"/>
  <c r="AX39" i="8"/>
  <c r="CV39" i="8"/>
  <c r="AK40" i="8"/>
  <c r="CC40" i="8"/>
  <c r="Q42" i="8"/>
  <c r="BM42" i="8"/>
  <c r="S3" i="8"/>
  <c r="AT3" i="8"/>
  <c r="BX3" i="8"/>
  <c r="CY3" i="8"/>
  <c r="K5" i="8"/>
  <c r="AL5" i="8"/>
  <c r="BP5" i="8"/>
  <c r="CQ5" i="8"/>
  <c r="V6" i="8"/>
  <c r="AW6" i="8"/>
  <c r="BX6" i="8"/>
  <c r="CY6" i="8"/>
  <c r="L9" i="8"/>
  <c r="AM9" i="8"/>
  <c r="BN9" i="8"/>
  <c r="CO9" i="8"/>
  <c r="W10" i="8"/>
  <c r="AX10" i="8"/>
  <c r="BY10" i="8"/>
  <c r="CZ10" i="8"/>
  <c r="O12" i="8"/>
  <c r="AP12" i="8"/>
  <c r="BQ12" i="8"/>
  <c r="CR12" i="8"/>
  <c r="U14" i="8"/>
  <c r="AV14" i="8"/>
  <c r="BZ14" i="8"/>
  <c r="DA14" i="8"/>
  <c r="M16" i="8"/>
  <c r="AN16" i="8"/>
  <c r="BR16" i="8"/>
  <c r="CS16" i="8"/>
  <c r="X17" i="8"/>
  <c r="AY17" i="8"/>
  <c r="BZ17" i="8"/>
  <c r="DA17" i="8"/>
  <c r="N20" i="8"/>
  <c r="AO20" i="8"/>
  <c r="BP20" i="8"/>
  <c r="CS20" i="8"/>
  <c r="AD21" i="8"/>
  <c r="BG21" i="8"/>
  <c r="CJ21" i="8"/>
  <c r="V22" i="8"/>
  <c r="AY22" i="8"/>
  <c r="CB22" i="8"/>
  <c r="R28" i="8"/>
  <c r="AZ28" i="8"/>
  <c r="CF28" i="8"/>
  <c r="X29" i="8"/>
  <c r="BD29" i="8"/>
  <c r="CJ29" i="8"/>
  <c r="AB30" i="8"/>
  <c r="BH30" i="8"/>
  <c r="CP30" i="8"/>
  <c r="AF31" i="8"/>
  <c r="BP31" i="8"/>
  <c r="CX31" i="8"/>
  <c r="CW33" i="8"/>
  <c r="BY33" i="8"/>
  <c r="BA33" i="8"/>
  <c r="AC33" i="8"/>
  <c r="CV33" i="8"/>
  <c r="BX33" i="8"/>
  <c r="AZ33" i="8"/>
  <c r="AB33" i="8"/>
  <c r="CO33" i="8"/>
  <c r="BO33" i="8"/>
  <c r="AO33" i="8"/>
  <c r="O33" i="8"/>
  <c r="CN33" i="8"/>
  <c r="BN33" i="8"/>
  <c r="AN33" i="8"/>
  <c r="N33" i="8"/>
  <c r="CM33" i="8"/>
  <c r="BM33" i="8"/>
  <c r="AM33" i="8"/>
  <c r="M33" i="8"/>
  <c r="CB33" i="8"/>
  <c r="AW33" i="8"/>
  <c r="T33" i="8"/>
  <c r="CA33" i="8"/>
  <c r="AV33" i="8"/>
  <c r="S33" i="8"/>
  <c r="DC33" i="8"/>
  <c r="BZ33" i="8"/>
  <c r="AU33" i="8"/>
  <c r="R33" i="8"/>
  <c r="DB33" i="8"/>
  <c r="BW33" i="8"/>
  <c r="AT33" i="8"/>
  <c r="Q33" i="8"/>
  <c r="DA33" i="8"/>
  <c r="BV33" i="8"/>
  <c r="AS33" i="8"/>
  <c r="P33" i="8"/>
  <c r="CZ33" i="8"/>
  <c r="BU33" i="8"/>
  <c r="AR33" i="8"/>
  <c r="L33" i="8"/>
  <c r="BB33" i="8"/>
  <c r="CK33" i="8"/>
  <c r="R35" i="8"/>
  <c r="BN35" i="8"/>
  <c r="DA36" i="8"/>
  <c r="CC36" i="8"/>
  <c r="BE36" i="8"/>
  <c r="AG36" i="8"/>
  <c r="I36" i="8"/>
  <c r="CQ36" i="8"/>
  <c r="BR36" i="8"/>
  <c r="AS36" i="8"/>
  <c r="T36" i="8"/>
  <c r="CP36" i="8"/>
  <c r="BQ36" i="8"/>
  <c r="AR36" i="8"/>
  <c r="S36" i="8"/>
  <c r="CI36" i="8"/>
  <c r="BH36" i="8"/>
  <c r="AF36" i="8"/>
  <c r="CH36" i="8"/>
  <c r="BG36" i="8"/>
  <c r="AE36" i="8"/>
  <c r="CG36" i="8"/>
  <c r="BF36" i="8"/>
  <c r="AD36" i="8"/>
  <c r="CE36" i="8"/>
  <c r="AZ36" i="8"/>
  <c r="V36" i="8"/>
  <c r="CD36" i="8"/>
  <c r="AY36" i="8"/>
  <c r="U36" i="8"/>
  <c r="CB36" i="8"/>
  <c r="AX36" i="8"/>
  <c r="R36" i="8"/>
  <c r="CA36" i="8"/>
  <c r="AW36" i="8"/>
  <c r="Q36" i="8"/>
  <c r="BZ36" i="8"/>
  <c r="AV36" i="8"/>
  <c r="P36" i="8"/>
  <c r="BY36" i="8"/>
  <c r="AU36" i="8"/>
  <c r="O36" i="8"/>
  <c r="CX36" i="8"/>
  <c r="BT36" i="8"/>
  <c r="AN36" i="8"/>
  <c r="J36" i="8"/>
  <c r="BC36" i="8"/>
  <c r="CT36" i="8"/>
  <c r="K39" i="8"/>
  <c r="AY39" i="8"/>
  <c r="CW39" i="8"/>
  <c r="AL40" i="8"/>
  <c r="CD40" i="8"/>
  <c r="R42" i="8"/>
  <c r="BN42" i="8"/>
  <c r="T3" i="8"/>
  <c r="AX3" i="8"/>
  <c r="BY3" i="8"/>
  <c r="CZ3" i="8"/>
  <c r="L5" i="8"/>
  <c r="AP5" i="8"/>
  <c r="BQ5" i="8"/>
  <c r="CR5" i="8"/>
  <c r="W6" i="8"/>
  <c r="AX6" i="8"/>
  <c r="BY6" i="8"/>
  <c r="CZ6" i="8"/>
  <c r="X10" i="8"/>
  <c r="AY10" i="8"/>
  <c r="BZ10" i="8"/>
  <c r="DA10" i="8"/>
  <c r="V14" i="8"/>
  <c r="AW14" i="8"/>
  <c r="CA14" i="8"/>
  <c r="DB14" i="8"/>
  <c r="N16" i="8"/>
  <c r="AO16" i="8"/>
  <c r="BS16" i="8"/>
  <c r="CT16" i="8"/>
  <c r="Y17" i="8"/>
  <c r="AZ17" i="8"/>
  <c r="CA17" i="8"/>
  <c r="DB17" i="8"/>
  <c r="O20" i="8"/>
  <c r="AP20" i="8"/>
  <c r="BQ20" i="8"/>
  <c r="CX20" i="8"/>
  <c r="AE21" i="8"/>
  <c r="BH21" i="8"/>
  <c r="CK21" i="8"/>
  <c r="W22" i="8"/>
  <c r="AZ22" i="8"/>
  <c r="CC22" i="8"/>
  <c r="Y29" i="8"/>
  <c r="BE29" i="8"/>
  <c r="CM29" i="8"/>
  <c r="AC30" i="8"/>
  <c r="BK30" i="8"/>
  <c r="CQ30" i="8"/>
  <c r="AI31" i="8"/>
  <c r="BQ31" i="8"/>
  <c r="CY31" i="8"/>
  <c r="S35" i="8"/>
  <c r="BO35" i="8"/>
  <c r="L39" i="8"/>
  <c r="BA39" i="8"/>
  <c r="CX39" i="8"/>
  <c r="AQ40" i="8"/>
  <c r="CL40" i="8"/>
  <c r="S42" i="8"/>
  <c r="BQ42" i="8"/>
  <c r="U3" i="8"/>
  <c r="AY3" i="8"/>
  <c r="BZ3" i="8"/>
  <c r="DA3" i="8"/>
  <c r="M5" i="8"/>
  <c r="AQ5" i="8"/>
  <c r="BR5" i="8"/>
  <c r="CS5" i="8"/>
  <c r="X6" i="8"/>
  <c r="AY6" i="8"/>
  <c r="BZ6" i="8"/>
  <c r="DA6" i="8"/>
  <c r="N9" i="8"/>
  <c r="AO9" i="8"/>
  <c r="BP9" i="8"/>
  <c r="CT9" i="8"/>
  <c r="Y10" i="8"/>
  <c r="AZ10" i="8"/>
  <c r="CA10" i="8"/>
  <c r="DB10" i="8"/>
  <c r="Q12" i="8"/>
  <c r="AR12" i="8"/>
  <c r="BS12" i="8"/>
  <c r="CT12" i="8"/>
  <c r="W14" i="8"/>
  <c r="AX14" i="8"/>
  <c r="CB14" i="8"/>
  <c r="DC14" i="8"/>
  <c r="O16" i="8"/>
  <c r="AP16" i="8"/>
  <c r="BT16" i="8"/>
  <c r="CU16" i="8"/>
  <c r="Z17" i="8"/>
  <c r="BA17" i="8"/>
  <c r="CB17" i="8"/>
  <c r="DC17" i="8"/>
  <c r="P20" i="8"/>
  <c r="AQ20" i="8"/>
  <c r="BR20" i="8"/>
  <c r="CY20" i="8"/>
  <c r="AF21" i="8"/>
  <c r="BI21" i="8"/>
  <c r="CL21" i="8"/>
  <c r="X22" i="8"/>
  <c r="BA22" i="8"/>
  <c r="CD22" i="8"/>
  <c r="K23" i="8"/>
  <c r="AS23" i="8"/>
  <c r="BW23" i="8"/>
  <c r="DA23" i="8"/>
  <c r="T28" i="8"/>
  <c r="BB28" i="8"/>
  <c r="CH28" i="8"/>
  <c r="Z29" i="8"/>
  <c r="BF29" i="8"/>
  <c r="CN29" i="8"/>
  <c r="AD30" i="8"/>
  <c r="BL30" i="8"/>
  <c r="CR30" i="8"/>
  <c r="AJ31" i="8"/>
  <c r="BR31" i="8"/>
  <c r="CZ31" i="8"/>
  <c r="J33" i="8"/>
  <c r="BD33" i="8"/>
  <c r="CP33" i="8"/>
  <c r="AE35" i="8"/>
  <c r="BP35" i="8"/>
  <c r="L36" i="8"/>
  <c r="BI36" i="8"/>
  <c r="CV36" i="8"/>
  <c r="M39" i="8"/>
  <c r="BB39" i="8"/>
  <c r="CY39" i="8"/>
  <c r="AR40" i="8"/>
  <c r="CM40" i="8"/>
  <c r="V42" i="8"/>
  <c r="BR42" i="8"/>
  <c r="B22" i="1"/>
  <c r="B26" i="1"/>
  <c r="V3" i="8"/>
  <c r="AZ3" i="8"/>
  <c r="CA3" i="8"/>
  <c r="DB3" i="8"/>
  <c r="AG4" i="8"/>
  <c r="BH4" i="8"/>
  <c r="CI4" i="8"/>
  <c r="N5" i="8"/>
  <c r="AR5" i="8"/>
  <c r="BS5" i="8"/>
  <c r="CT5" i="8"/>
  <c r="Y6" i="8"/>
  <c r="AZ6" i="8"/>
  <c r="CA6" i="8"/>
  <c r="DB6" i="8"/>
  <c r="O9" i="8"/>
  <c r="AP9" i="8"/>
  <c r="BQ9" i="8"/>
  <c r="CU9" i="8"/>
  <c r="Z10" i="8"/>
  <c r="BA10" i="8"/>
  <c r="CB10" i="8"/>
  <c r="DC10" i="8"/>
  <c r="R12" i="8"/>
  <c r="AS12" i="8"/>
  <c r="BT12" i="8"/>
  <c r="CU12" i="8"/>
  <c r="X14" i="8"/>
  <c r="BB14" i="8"/>
  <c r="CC14" i="8"/>
  <c r="CS15" i="8"/>
  <c r="BU15" i="8"/>
  <c r="AW15" i="8"/>
  <c r="Y15" i="8"/>
  <c r="CR15" i="8"/>
  <c r="BT15" i="8"/>
  <c r="AV15" i="8"/>
  <c r="X15" i="8"/>
  <c r="CQ15" i="8"/>
  <c r="BS15" i="8"/>
  <c r="AU15" i="8"/>
  <c r="W15" i="8"/>
  <c r="AI15" i="8"/>
  <c r="BJ15" i="8"/>
  <c r="CK15" i="8"/>
  <c r="P16" i="8"/>
  <c r="AT16" i="8"/>
  <c r="BU16" i="8"/>
  <c r="CV16" i="8"/>
  <c r="AA17" i="8"/>
  <c r="BB17" i="8"/>
  <c r="CC17" i="8"/>
  <c r="CG18" i="8"/>
  <c r="BI18" i="8"/>
  <c r="AK18" i="8"/>
  <c r="M18" i="8"/>
  <c r="CF18" i="8"/>
  <c r="BH18" i="8"/>
  <c r="AJ18" i="8"/>
  <c r="L18" i="8"/>
  <c r="DC18" i="8"/>
  <c r="CE18" i="8"/>
  <c r="BG18" i="8"/>
  <c r="AI18" i="8"/>
  <c r="K18" i="8"/>
  <c r="AL18" i="8"/>
  <c r="BM18" i="8"/>
  <c r="CN18" i="8"/>
  <c r="Q20" i="8"/>
  <c r="AR20" i="8"/>
  <c r="BS20" i="8"/>
  <c r="CZ20" i="8"/>
  <c r="AG21" i="8"/>
  <c r="BJ21" i="8"/>
  <c r="CM21" i="8"/>
  <c r="Y22" i="8"/>
  <c r="BB22" i="8"/>
  <c r="CE22" i="8"/>
  <c r="M23" i="8"/>
  <c r="AT23" i="8"/>
  <c r="BX23" i="8"/>
  <c r="DB23" i="8"/>
  <c r="W28" i="8"/>
  <c r="BC28" i="8"/>
  <c r="CI28" i="8"/>
  <c r="AA29" i="8"/>
  <c r="BG29" i="8"/>
  <c r="CO29" i="8"/>
  <c r="AE30" i="8"/>
  <c r="BM30" i="8"/>
  <c r="CS30" i="8"/>
  <c r="AK31" i="8"/>
  <c r="BS31" i="8"/>
  <c r="DA31" i="8"/>
  <c r="K33" i="8"/>
  <c r="BE33" i="8"/>
  <c r="CQ33" i="8"/>
  <c r="AF35" i="8"/>
  <c r="BS35" i="8"/>
  <c r="M36" i="8"/>
  <c r="BJ36" i="8"/>
  <c r="CW36" i="8"/>
  <c r="N39" i="8"/>
  <c r="BC39" i="8"/>
  <c r="CZ39" i="8"/>
  <c r="AU40" i="8"/>
  <c r="CN40" i="8"/>
  <c r="W42" i="8"/>
  <c r="BS42" i="8"/>
  <c r="C22" i="1"/>
  <c r="C26" i="1"/>
  <c r="Z3" i="8"/>
  <c r="BA3" i="8"/>
  <c r="CB3" i="8"/>
  <c r="DC3" i="8"/>
  <c r="AH4" i="8"/>
  <c r="BI4" i="8"/>
  <c r="R5" i="8"/>
  <c r="AS5" i="8"/>
  <c r="BT5" i="8"/>
  <c r="CU5" i="8"/>
  <c r="Z6" i="8"/>
  <c r="BA6" i="8"/>
  <c r="CB6" i="8"/>
  <c r="CW8" i="8"/>
  <c r="BY8" i="8"/>
  <c r="BA8" i="8"/>
  <c r="AC8" i="8"/>
  <c r="CV8" i="8"/>
  <c r="BX8" i="8"/>
  <c r="AZ8" i="8"/>
  <c r="AB8" i="8"/>
  <c r="CU8" i="8"/>
  <c r="BW8" i="8"/>
  <c r="AY8" i="8"/>
  <c r="AA8" i="8"/>
  <c r="AI8" i="8"/>
  <c r="BJ8" i="8"/>
  <c r="CK8" i="8"/>
  <c r="P9" i="8"/>
  <c r="AQ9" i="8"/>
  <c r="BR9" i="8"/>
  <c r="CV9" i="8"/>
  <c r="AA10" i="8"/>
  <c r="BB10" i="8"/>
  <c r="CC10" i="8"/>
  <c r="CK11" i="8"/>
  <c r="BM11" i="8"/>
  <c r="AO11" i="8"/>
  <c r="Q11" i="8"/>
  <c r="CJ11" i="8"/>
  <c r="BL11" i="8"/>
  <c r="AN11" i="8"/>
  <c r="P11" i="8"/>
  <c r="CI11" i="8"/>
  <c r="BK11" i="8"/>
  <c r="AM11" i="8"/>
  <c r="O11" i="8"/>
  <c r="AI11" i="8"/>
  <c r="BJ11" i="8"/>
  <c r="CN11" i="8"/>
  <c r="S12" i="8"/>
  <c r="AT12" i="8"/>
  <c r="BU12" i="8"/>
  <c r="CV12" i="8"/>
  <c r="Y14" i="8"/>
  <c r="BC14" i="8"/>
  <c r="CD14" i="8"/>
  <c r="I15" i="8"/>
  <c r="AJ15" i="8"/>
  <c r="BK15" i="8"/>
  <c r="CL15" i="8"/>
  <c r="Q16" i="8"/>
  <c r="AU16" i="8"/>
  <c r="BV16" i="8"/>
  <c r="CW16" i="8"/>
  <c r="AB17" i="8"/>
  <c r="BC17" i="8"/>
  <c r="CD17" i="8"/>
  <c r="I18" i="8"/>
  <c r="AM18" i="8"/>
  <c r="BN18" i="8"/>
  <c r="CO18" i="8"/>
  <c r="R20" i="8"/>
  <c r="AS20" i="8"/>
  <c r="BU20" i="8"/>
  <c r="DA20" i="8"/>
  <c r="AH21" i="8"/>
  <c r="BK21" i="8"/>
  <c r="CO21" i="8"/>
  <c r="Z22" i="8"/>
  <c r="BC22" i="8"/>
  <c r="CF22" i="8"/>
  <c r="R23" i="8"/>
  <c r="AU23" i="8"/>
  <c r="BY23" i="8"/>
  <c r="DC23" i="8"/>
  <c r="X28" i="8"/>
  <c r="BD28" i="8"/>
  <c r="CJ28" i="8"/>
  <c r="AB29" i="8"/>
  <c r="BH29" i="8"/>
  <c r="CP29" i="8"/>
  <c r="AF30" i="8"/>
  <c r="BN30" i="8"/>
  <c r="CT30" i="8"/>
  <c r="AL31" i="8"/>
  <c r="BT31" i="8"/>
  <c r="DB31" i="8"/>
  <c r="U33" i="8"/>
  <c r="BF33" i="8"/>
  <c r="CR33" i="8"/>
  <c r="AG35" i="8"/>
  <c r="BT35" i="8"/>
  <c r="N36" i="8"/>
  <c r="BK36" i="8"/>
  <c r="CY36" i="8"/>
  <c r="O39" i="8"/>
  <c r="BD39" i="8"/>
  <c r="DA39" i="8"/>
  <c r="AW40" i="8"/>
  <c r="CO40" i="8"/>
  <c r="X42" i="8"/>
  <c r="CD42" i="8"/>
  <c r="L273" i="11"/>
  <c r="AA3" i="8"/>
  <c r="BB3" i="8"/>
  <c r="CC3" i="8"/>
  <c r="CO4" i="8"/>
  <c r="BQ4" i="8"/>
  <c r="AS4" i="8"/>
  <c r="U4" i="8"/>
  <c r="CN4" i="8"/>
  <c r="BP4" i="8"/>
  <c r="AR4" i="8"/>
  <c r="T4" i="8"/>
  <c r="CM4" i="8"/>
  <c r="BO4" i="8"/>
  <c r="AQ4" i="8"/>
  <c r="S4" i="8"/>
  <c r="AI4" i="8"/>
  <c r="BJ4" i="8"/>
  <c r="CK4" i="8"/>
  <c r="S5" i="8"/>
  <c r="AT5" i="8"/>
  <c r="BU5" i="8"/>
  <c r="CV5" i="8"/>
  <c r="AA6" i="8"/>
  <c r="BB6" i="8"/>
  <c r="CC6" i="8"/>
  <c r="Q9" i="8"/>
  <c r="AR9" i="8"/>
  <c r="BV9" i="8"/>
  <c r="CW9" i="8"/>
  <c r="AB10" i="8"/>
  <c r="BC10" i="8"/>
  <c r="CD10" i="8"/>
  <c r="T12" i="8"/>
  <c r="AU12" i="8"/>
  <c r="BV12" i="8"/>
  <c r="CW12" i="8"/>
  <c r="Z14" i="8"/>
  <c r="BD14" i="8"/>
  <c r="CE14" i="8"/>
  <c r="R16" i="8"/>
  <c r="AV16" i="8"/>
  <c r="BW16" i="8"/>
  <c r="CX16" i="8"/>
  <c r="AC17" i="8"/>
  <c r="BD17" i="8"/>
  <c r="CE17" i="8"/>
  <c r="S20" i="8"/>
  <c r="AT20" i="8"/>
  <c r="BV20" i="8"/>
  <c r="DB20" i="8"/>
  <c r="AI21" i="8"/>
  <c r="BL21" i="8"/>
  <c r="CT21" i="8"/>
  <c r="AA22" i="8"/>
  <c r="BD22" i="8"/>
  <c r="CG22" i="8"/>
  <c r="I24" i="12"/>
  <c r="Y28" i="8"/>
  <c r="BE28" i="8"/>
  <c r="CS28" i="8"/>
  <c r="AC29" i="8"/>
  <c r="BI29" i="8"/>
  <c r="CW29" i="8"/>
  <c r="AG30" i="8"/>
  <c r="BO30" i="8"/>
  <c r="DA30" i="8"/>
  <c r="AM31" i="8"/>
  <c r="BU31" i="8"/>
  <c r="V33" i="8"/>
  <c r="BG33" i="8"/>
  <c r="CS33" i="8"/>
  <c r="AH35" i="8"/>
  <c r="BU35" i="8"/>
  <c r="W36" i="8"/>
  <c r="BL36" i="8"/>
  <c r="CZ36" i="8"/>
  <c r="P39" i="8"/>
  <c r="BN39" i="8"/>
  <c r="DB39" i="8"/>
  <c r="AX40" i="8"/>
  <c r="CU40" i="8"/>
  <c r="Y42" i="8"/>
  <c r="CE42" i="8"/>
  <c r="L15" i="11"/>
  <c r="L87" i="11"/>
  <c r="L159" i="11"/>
  <c r="L225" i="11"/>
  <c r="L75" i="11"/>
  <c r="L219" i="11"/>
  <c r="L226" i="11"/>
  <c r="L140" i="11"/>
  <c r="L147" i="11"/>
  <c r="L286" i="11"/>
  <c r="CG41" i="8"/>
  <c r="BI41" i="8"/>
  <c r="AK41" i="8"/>
  <c r="M41" i="8"/>
  <c r="CZ41" i="8"/>
  <c r="CR41" i="8"/>
  <c r="BS41" i="8"/>
  <c r="AT41" i="8"/>
  <c r="U41" i="8"/>
  <c r="CQ41" i="8"/>
  <c r="BR41" i="8"/>
  <c r="AS41" i="8"/>
  <c r="T41" i="8"/>
  <c r="DC41" i="8"/>
  <c r="CA41" i="8"/>
  <c r="AZ41" i="8"/>
  <c r="Y41" i="8"/>
  <c r="DB41" i="8"/>
  <c r="BZ41" i="8"/>
  <c r="AY41" i="8"/>
  <c r="X41" i="8"/>
  <c r="DA41" i="8"/>
  <c r="BY41" i="8"/>
  <c r="AX41" i="8"/>
  <c r="W41" i="8"/>
  <c r="AM41" i="8"/>
  <c r="BQ41" i="8"/>
  <c r="CW41" i="8"/>
  <c r="L248" i="11"/>
  <c r="L430" i="11"/>
  <c r="L189" i="11"/>
  <c r="E24" i="12"/>
  <c r="H24" i="12"/>
  <c r="K24" i="12"/>
  <c r="J24" i="12"/>
  <c r="C24" i="12"/>
  <c r="B24" i="12"/>
  <c r="L24" i="12" s="1"/>
  <c r="M24" i="12" s="1"/>
  <c r="G24" i="12"/>
  <c r="F24" i="12"/>
  <c r="D24" i="12"/>
  <c r="AF24" i="8"/>
  <c r="BD24" i="8"/>
  <c r="CB24" i="8"/>
  <c r="CZ24" i="8"/>
  <c r="AG27" i="8"/>
  <c r="BG27" i="8"/>
  <c r="CW37" i="8"/>
  <c r="BY37" i="8"/>
  <c r="BA37" i="8"/>
  <c r="AC37" i="8"/>
  <c r="CQ37" i="8"/>
  <c r="BR37" i="8"/>
  <c r="AS37" i="8"/>
  <c r="T37" i="8"/>
  <c r="CP37" i="8"/>
  <c r="BQ37" i="8"/>
  <c r="AR37" i="8"/>
  <c r="S37" i="8"/>
  <c r="CS37" i="8"/>
  <c r="BP37" i="8"/>
  <c r="AO37" i="8"/>
  <c r="N37" i="8"/>
  <c r="CR37" i="8"/>
  <c r="BO37" i="8"/>
  <c r="AN37" i="8"/>
  <c r="M37" i="8"/>
  <c r="CO37" i="8"/>
  <c r="BN37" i="8"/>
  <c r="AM37" i="8"/>
  <c r="L37" i="8"/>
  <c r="AL37" i="8"/>
  <c r="BU37" i="8"/>
  <c r="CZ37" i="8"/>
  <c r="N41" i="8"/>
  <c r="AR41" i="8"/>
  <c r="BX41" i="8"/>
  <c r="AL43" i="8"/>
  <c r="BQ43" i="8"/>
  <c r="AL44" i="8"/>
  <c r="BR44" i="8"/>
  <c r="E27" i="12"/>
  <c r="I27" i="12"/>
  <c r="H27" i="12"/>
  <c r="G27" i="12"/>
  <c r="B27" i="12"/>
  <c r="L27" i="12" s="1"/>
  <c r="M27" i="12" s="1"/>
  <c r="K27" i="12"/>
  <c r="J27" i="12"/>
  <c r="F27" i="12"/>
  <c r="C27" i="12"/>
  <c r="CT27" i="8"/>
  <c r="BV27" i="8"/>
  <c r="AX27" i="8"/>
  <c r="Z27" i="8"/>
  <c r="CS27" i="8"/>
  <c r="BU27" i="8"/>
  <c r="AW27" i="8"/>
  <c r="Y27" i="8"/>
  <c r="D27" i="12"/>
  <c r="AH27" i="8"/>
  <c r="BH27" i="8"/>
  <c r="CH27" i="8"/>
  <c r="O41" i="8"/>
  <c r="AU41" i="8"/>
  <c r="CB41" i="8"/>
  <c r="CW43" i="8"/>
  <c r="BY43" i="8"/>
  <c r="BA43" i="8"/>
  <c r="AC43" i="8"/>
  <c r="CR43" i="8"/>
  <c r="BT43" i="8"/>
  <c r="AV43" i="8"/>
  <c r="X43" i="8"/>
  <c r="DA43" i="8"/>
  <c r="CA43" i="8"/>
  <c r="AZ43" i="8"/>
  <c r="Z43" i="8"/>
  <c r="CZ43" i="8"/>
  <c r="BZ43" i="8"/>
  <c r="AY43" i="8"/>
  <c r="Y43" i="8"/>
  <c r="DC43" i="8"/>
  <c r="BX43" i="8"/>
  <c r="AU43" i="8"/>
  <c r="S43" i="8"/>
  <c r="DB43" i="8"/>
  <c r="BW43" i="8"/>
  <c r="AT43" i="8"/>
  <c r="R43" i="8"/>
  <c r="CY43" i="8"/>
  <c r="BV43" i="8"/>
  <c r="AS43" i="8"/>
  <c r="Q43" i="8"/>
  <c r="AM43" i="8"/>
  <c r="BR43" i="8"/>
  <c r="CS44" i="8"/>
  <c r="BU44" i="8"/>
  <c r="AW44" i="8"/>
  <c r="Y44" i="8"/>
  <c r="CN44" i="8"/>
  <c r="BP44" i="8"/>
  <c r="AR44" i="8"/>
  <c r="T44" i="8"/>
  <c r="CE44" i="8"/>
  <c r="BE44" i="8"/>
  <c r="AE44" i="8"/>
  <c r="CD44" i="8"/>
  <c r="BD44" i="8"/>
  <c r="AD44" i="8"/>
  <c r="CM44" i="8"/>
  <c r="BK44" i="8"/>
  <c r="AI44" i="8"/>
  <c r="CL44" i="8"/>
  <c r="BJ44" i="8"/>
  <c r="AH44" i="8"/>
  <c r="CK44" i="8"/>
  <c r="BI44" i="8"/>
  <c r="AG44" i="8"/>
  <c r="AM44" i="8"/>
  <c r="BS44" i="8"/>
  <c r="CY44" i="8"/>
  <c r="J24" i="8"/>
  <c r="AH24" i="8"/>
  <c r="BF24" i="8"/>
  <c r="CD24" i="8"/>
  <c r="DB24" i="8"/>
  <c r="I27" i="8"/>
  <c r="AI27" i="8"/>
  <c r="BI27" i="8"/>
  <c r="CI27" i="8"/>
  <c r="AQ37" i="8"/>
  <c r="BW37" i="8"/>
  <c r="DB37" i="8"/>
  <c r="P41" i="8"/>
  <c r="AV41" i="8"/>
  <c r="CC41" i="8"/>
  <c r="AN43" i="8"/>
  <c r="BS43" i="8"/>
  <c r="I44" i="8"/>
  <c r="AN44" i="8"/>
  <c r="BT44" i="8"/>
  <c r="CZ44" i="8"/>
  <c r="K24" i="8"/>
  <c r="AI24" i="8"/>
  <c r="BG24" i="8"/>
  <c r="CE24" i="8"/>
  <c r="DC24" i="8"/>
  <c r="J27" i="8"/>
  <c r="AJ27" i="8"/>
  <c r="BJ27" i="8"/>
  <c r="CJ27" i="8"/>
  <c r="K37" i="8"/>
  <c r="AT37" i="8"/>
  <c r="BX37" i="8"/>
  <c r="DC37" i="8"/>
  <c r="Q41" i="8"/>
  <c r="AW41" i="8"/>
  <c r="CD41" i="8"/>
  <c r="J43" i="8"/>
  <c r="AO43" i="8"/>
  <c r="BU43" i="8"/>
  <c r="J44" i="8"/>
  <c r="AO44" i="8"/>
  <c r="BV44" i="8"/>
  <c r="DA44" i="8"/>
  <c r="AF7" i="8"/>
  <c r="BD7" i="8"/>
  <c r="CB7" i="8"/>
  <c r="AF13" i="8"/>
  <c r="BD13" i="8"/>
  <c r="CB13" i="8"/>
  <c r="E19" i="12"/>
  <c r="C19" i="12"/>
  <c r="B19" i="12"/>
  <c r="I19" i="12"/>
  <c r="H19" i="12"/>
  <c r="G19" i="12"/>
  <c r="F19" i="12"/>
  <c r="D19" i="12"/>
  <c r="K19" i="12"/>
  <c r="AF19" i="8"/>
  <c r="BD19" i="8"/>
  <c r="CB19" i="8"/>
  <c r="CZ19" i="8"/>
  <c r="L24" i="8"/>
  <c r="AJ24" i="8"/>
  <c r="BH24" i="8"/>
  <c r="CF24" i="8"/>
  <c r="E25" i="12"/>
  <c r="F25" i="12"/>
  <c r="D25" i="12"/>
  <c r="B25" i="12"/>
  <c r="K25" i="12"/>
  <c r="J25" i="12"/>
  <c r="DB25" i="8"/>
  <c r="DA25" i="8"/>
  <c r="CC25" i="8"/>
  <c r="I25" i="12"/>
  <c r="H25" i="12"/>
  <c r="G25" i="12"/>
  <c r="C25" i="12"/>
  <c r="AF25" i="8"/>
  <c r="BD25" i="8"/>
  <c r="CB25" i="8"/>
  <c r="DC25" i="8"/>
  <c r="AG26" i="8"/>
  <c r="BG26" i="8"/>
  <c r="K27" i="8"/>
  <c r="AK27" i="8"/>
  <c r="BK27" i="8"/>
  <c r="CK27" i="8"/>
  <c r="CS34" i="8"/>
  <c r="BU34" i="8"/>
  <c r="AW34" i="8"/>
  <c r="Y34" i="8"/>
  <c r="CR34" i="8"/>
  <c r="BT34" i="8"/>
  <c r="AV34" i="8"/>
  <c r="X34" i="8"/>
  <c r="CU34" i="8"/>
  <c r="BS34" i="8"/>
  <c r="AS34" i="8"/>
  <c r="S34" i="8"/>
  <c r="CT34" i="8"/>
  <c r="BR34" i="8"/>
  <c r="AR34" i="8"/>
  <c r="R34" i="8"/>
  <c r="CQ34" i="8"/>
  <c r="BQ34" i="8"/>
  <c r="AQ34" i="8"/>
  <c r="Q34" i="8"/>
  <c r="AK34" i="8"/>
  <c r="BN34" i="8"/>
  <c r="CV34" i="8"/>
  <c r="O37" i="8"/>
  <c r="AU37" i="8"/>
  <c r="BZ37" i="8"/>
  <c r="CS38" i="8"/>
  <c r="BU38" i="8"/>
  <c r="AW38" i="8"/>
  <c r="Y38" i="8"/>
  <c r="CQ38" i="8"/>
  <c r="BR38" i="8"/>
  <c r="AS38" i="8"/>
  <c r="T38" i="8"/>
  <c r="CP38" i="8"/>
  <c r="BQ38" i="8"/>
  <c r="AR38" i="8"/>
  <c r="S38" i="8"/>
  <c r="DB38" i="8"/>
  <c r="CA38" i="8"/>
  <c r="AZ38" i="8"/>
  <c r="X38" i="8"/>
  <c r="DA38" i="8"/>
  <c r="BZ38" i="8"/>
  <c r="AY38" i="8"/>
  <c r="W38" i="8"/>
  <c r="CZ38" i="8"/>
  <c r="BY38" i="8"/>
  <c r="AX38" i="8"/>
  <c r="V38" i="8"/>
  <c r="AL38" i="8"/>
  <c r="BP38" i="8"/>
  <c r="CW38" i="8"/>
  <c r="R41" i="8"/>
  <c r="BA41" i="8"/>
  <c r="CE41" i="8"/>
  <c r="K43" i="8"/>
  <c r="AP43" i="8"/>
  <c r="CB43" i="8"/>
  <c r="K44" i="8"/>
  <c r="AP44" i="8"/>
  <c r="BW44" i="8"/>
  <c r="DB44" i="8"/>
  <c r="L298" i="11"/>
  <c r="L418" i="11"/>
  <c r="M24" i="8"/>
  <c r="AK24" i="8"/>
  <c r="BI24" i="8"/>
  <c r="CG24" i="8"/>
  <c r="H26" i="12"/>
  <c r="J26" i="12"/>
  <c r="I26" i="12"/>
  <c r="D26" i="12"/>
  <c r="K26" i="12"/>
  <c r="G26" i="12"/>
  <c r="F26" i="12"/>
  <c r="E26" i="12"/>
  <c r="CX26" i="8"/>
  <c r="BZ26" i="8"/>
  <c r="BB26" i="8"/>
  <c r="AD26" i="8"/>
  <c r="CW26" i="8"/>
  <c r="BY26" i="8"/>
  <c r="BA26" i="8"/>
  <c r="AC26" i="8"/>
  <c r="C26" i="12"/>
  <c r="B26" i="12"/>
  <c r="AH26" i="8"/>
  <c r="BH26" i="8"/>
  <c r="CH26" i="8"/>
  <c r="L27" i="8"/>
  <c r="AL27" i="8"/>
  <c r="BL27" i="8"/>
  <c r="CL27" i="8"/>
  <c r="P37" i="8"/>
  <c r="AV37" i="8"/>
  <c r="CA37" i="8"/>
  <c r="S41" i="8"/>
  <c r="BB41" i="8"/>
  <c r="CF41" i="8"/>
  <c r="L43" i="8"/>
  <c r="AQ43" i="8"/>
  <c r="CC43" i="8"/>
  <c r="L44" i="8"/>
  <c r="AQ44" i="8"/>
  <c r="BX44" i="8"/>
  <c r="DC44" i="8"/>
  <c r="L165" i="11"/>
  <c r="L231" i="11"/>
  <c r="L348" i="11"/>
  <c r="L28" i="15"/>
  <c r="M28" i="15" s="1"/>
  <c r="L5" i="15"/>
  <c r="M5" i="15"/>
  <c r="L34" i="15"/>
  <c r="M34" i="15" s="1"/>
  <c r="L354" i="11"/>
  <c r="L328" i="11"/>
  <c r="L454" i="11"/>
  <c r="L474" i="11"/>
  <c r="L16" i="15"/>
  <c r="M16" i="15" s="1"/>
  <c r="L316" i="11"/>
  <c r="L494" i="11"/>
  <c r="L304" i="11"/>
  <c r="L436" i="11"/>
  <c r="F48" i="9"/>
  <c r="F53" i="9" s="1"/>
  <c r="L93" i="11"/>
  <c r="L195" i="11"/>
  <c r="L331" i="11"/>
  <c r="K10" i="15"/>
  <c r="K19" i="15"/>
  <c r="K24" i="15"/>
  <c r="K33" i="15"/>
  <c r="D26" i="27"/>
  <c r="D20" i="27"/>
  <c r="C26" i="27"/>
  <c r="C20" i="27"/>
  <c r="D25" i="27"/>
  <c r="D19" i="27"/>
  <c r="C25" i="27"/>
  <c r="C19" i="27"/>
  <c r="D24" i="27"/>
  <c r="D18" i="27"/>
  <c r="C24" i="27"/>
  <c r="C18" i="27"/>
  <c r="D23" i="27"/>
  <c r="D17" i="27"/>
  <c r="C23" i="27"/>
  <c r="C17" i="27"/>
  <c r="D28" i="27"/>
  <c r="D22" i="27"/>
  <c r="C28" i="27"/>
  <c r="C22" i="27"/>
  <c r="D27" i="27"/>
  <c r="D21" i="27"/>
  <c r="C27" i="27"/>
  <c r="C21" i="27"/>
  <c r="H6" i="15"/>
  <c r="K6" i="15" s="1"/>
  <c r="K20" i="15"/>
  <c r="K29" i="15"/>
  <c r="K6" i="22"/>
  <c r="F4" i="24" s="1"/>
  <c r="K7" i="15"/>
  <c r="M11" i="15"/>
  <c r="K3" i="15"/>
  <c r="L21" i="15"/>
  <c r="M21" i="15" s="1"/>
  <c r="M25" i="15"/>
  <c r="L30" i="15"/>
  <c r="M30" i="15" s="1"/>
  <c r="H12" i="15"/>
  <c r="E12" i="15"/>
  <c r="E35" i="15"/>
  <c r="K35" i="15" s="1"/>
  <c r="K8" i="15"/>
  <c r="L22" i="15"/>
  <c r="M22" i="15"/>
  <c r="L31" i="15"/>
  <c r="M31" i="15" s="1"/>
  <c r="M4" i="15"/>
  <c r="L36" i="15"/>
  <c r="M36" i="15" s="1"/>
  <c r="C51" i="15"/>
  <c r="C48" i="15"/>
  <c r="AF32" i="8"/>
  <c r="BD32" i="8"/>
  <c r="CB32" i="8"/>
  <c r="CZ32" i="8"/>
  <c r="CO45" i="8"/>
  <c r="BQ45" i="8"/>
  <c r="AS45" i="8"/>
  <c r="U45" i="8"/>
  <c r="CJ45" i="8"/>
  <c r="BL45" i="8"/>
  <c r="AN45" i="8"/>
  <c r="P45" i="8"/>
  <c r="AH45" i="8"/>
  <c r="BH45" i="8"/>
  <c r="CH45" i="8"/>
  <c r="L111" i="11"/>
  <c r="L255" i="11"/>
  <c r="L274" i="11"/>
  <c r="L325" i="11"/>
  <c r="L4" i="15"/>
  <c r="I32" i="8"/>
  <c r="AG32" i="8"/>
  <c r="BE32" i="8"/>
  <c r="CC32" i="8"/>
  <c r="I45" i="8"/>
  <c r="AI45" i="8"/>
  <c r="BI45" i="8"/>
  <c r="CI45" i="8"/>
  <c r="L105" i="11"/>
  <c r="L249" i="11"/>
  <c r="L370" i="11"/>
  <c r="L472" i="11"/>
  <c r="M9" i="15"/>
  <c r="L9" i="15"/>
  <c r="L243" i="11"/>
  <c r="L262" i="11"/>
  <c r="L300" i="11"/>
  <c r="L364" i="11"/>
  <c r="K14" i="15"/>
  <c r="L23" i="15"/>
  <c r="M23" i="15"/>
  <c r="K18" i="23"/>
  <c r="L18" i="23" s="1"/>
  <c r="K57" i="23"/>
  <c r="L57" i="23" s="1"/>
  <c r="K146" i="23"/>
  <c r="L146" i="23" s="1"/>
  <c r="C47" i="15"/>
  <c r="I7" i="22"/>
  <c r="K25" i="23"/>
  <c r="L25" i="23" s="1"/>
  <c r="L32" i="23"/>
  <c r="K32" i="23"/>
  <c r="L95" i="23"/>
  <c r="K95" i="23"/>
  <c r="L114" i="23"/>
  <c r="K114" i="23"/>
  <c r="L153" i="23"/>
  <c r="K153" i="23"/>
  <c r="K44" i="23"/>
  <c r="L44" i="23" s="1"/>
  <c r="K51" i="23"/>
  <c r="L51" i="23"/>
  <c r="K121" i="23"/>
  <c r="L121" i="23" s="1"/>
  <c r="K128" i="23"/>
  <c r="L128" i="23" s="1"/>
  <c r="L191" i="23"/>
  <c r="K191" i="23"/>
  <c r="K19" i="23"/>
  <c r="L19" i="23" s="1"/>
  <c r="L38" i="23"/>
  <c r="K38" i="23"/>
  <c r="L89" i="23"/>
  <c r="K89" i="23"/>
  <c r="L140" i="23"/>
  <c r="K140" i="23"/>
  <c r="K147" i="23"/>
  <c r="L147" i="23" s="1"/>
  <c r="C49" i="15"/>
  <c r="H8" i="22"/>
  <c r="I8" i="22" s="1"/>
  <c r="I13" i="22"/>
  <c r="L13" i="22" s="1"/>
  <c r="L7" i="23"/>
  <c r="K7" i="23"/>
  <c r="K13" i="23"/>
  <c r="L13" i="23" s="1"/>
  <c r="K26" i="23"/>
  <c r="L26" i="23" s="1"/>
  <c r="K64" i="23"/>
  <c r="L64" i="23" s="1"/>
  <c r="K96" i="23"/>
  <c r="L96" i="23" s="1"/>
  <c r="L103" i="23"/>
  <c r="K103" i="23"/>
  <c r="L115" i="23"/>
  <c r="K115" i="23"/>
  <c r="L134" i="23"/>
  <c r="K134" i="23"/>
  <c r="K185" i="23"/>
  <c r="L185" i="23" s="1"/>
  <c r="K109" i="23"/>
  <c r="L109" i="23" s="1"/>
  <c r="K122" i="23"/>
  <c r="L122" i="23" s="1"/>
  <c r="K160" i="23"/>
  <c r="L160" i="23" s="1"/>
  <c r="K192" i="23"/>
  <c r="L192" i="23" s="1"/>
  <c r="L199" i="23"/>
  <c r="K199" i="23"/>
  <c r="K39" i="23"/>
  <c r="L39" i="23" s="1"/>
  <c r="L52" i="23"/>
  <c r="K71" i="23"/>
  <c r="L71" i="23" s="1"/>
  <c r="L84" i="23"/>
  <c r="K84" i="23"/>
  <c r="L90" i="23"/>
  <c r="K90" i="23"/>
  <c r="E37" i="15"/>
  <c r="K37" i="15" s="1"/>
  <c r="J5" i="24"/>
  <c r="C7" i="25"/>
  <c r="H5" i="24"/>
  <c r="C6" i="25"/>
  <c r="C5" i="24"/>
  <c r="C10" i="25"/>
  <c r="G10" i="25" s="1"/>
  <c r="C5" i="25"/>
  <c r="C9" i="25"/>
  <c r="G9" i="25" s="1"/>
  <c r="C8" i="25"/>
  <c r="L5" i="24"/>
  <c r="M5" i="24"/>
  <c r="K5" i="24"/>
  <c r="I5" i="24"/>
  <c r="G5" i="24"/>
  <c r="B5" i="24"/>
  <c r="M4" i="24"/>
  <c r="L4" i="24"/>
  <c r="K4" i="24"/>
  <c r="J4" i="24"/>
  <c r="I4" i="24"/>
  <c r="H4" i="24"/>
  <c r="G4" i="24"/>
  <c r="C4" i="24"/>
  <c r="B4" i="24"/>
  <c r="K65" i="23"/>
  <c r="L65" i="23" s="1"/>
  <c r="K97" i="23"/>
  <c r="L97" i="23" s="1"/>
  <c r="L135" i="23"/>
  <c r="K135" i="23"/>
  <c r="K167" i="23"/>
  <c r="L167" i="23" s="1"/>
  <c r="K180" i="23"/>
  <c r="L180" i="23" s="1"/>
  <c r="K186" i="23"/>
  <c r="L186" i="23" s="1"/>
  <c r="E26" i="15"/>
  <c r="K26" i="15" s="1"/>
  <c r="F25" i="20"/>
  <c r="H3" i="20"/>
  <c r="K59" i="23"/>
  <c r="L59" i="23" s="1"/>
  <c r="L161" i="23"/>
  <c r="K161" i="23"/>
  <c r="L193" i="23"/>
  <c r="K193" i="23"/>
  <c r="E15" i="15"/>
  <c r="K15" i="15" s="1"/>
  <c r="C52" i="15"/>
  <c r="G25" i="20"/>
  <c r="L14" i="22"/>
  <c r="K14" i="22"/>
  <c r="K40" i="23"/>
  <c r="L40" i="23" s="1"/>
  <c r="L72" i="23"/>
  <c r="K72" i="23"/>
  <c r="L123" i="23"/>
  <c r="K155" i="23"/>
  <c r="L155" i="23" s="1"/>
  <c r="L53" i="23"/>
  <c r="L98" i="23"/>
  <c r="K98" i="23"/>
  <c r="K136" i="23"/>
  <c r="L136" i="23" s="1"/>
  <c r="K168" i="23"/>
  <c r="L168" i="23" s="1"/>
  <c r="E18" i="15"/>
  <c r="K18" i="15" s="1"/>
  <c r="E32" i="15"/>
  <c r="K32" i="15" s="1"/>
  <c r="C53" i="15"/>
  <c r="K15" i="23"/>
  <c r="L15" i="23" s="1"/>
  <c r="K46" i="23"/>
  <c r="L46" i="23" s="1"/>
  <c r="L194" i="23"/>
  <c r="K194" i="23"/>
  <c r="H5" i="20"/>
  <c r="K9" i="23"/>
  <c r="L9" i="23" s="1"/>
  <c r="K21" i="23"/>
  <c r="L21" i="23" s="1"/>
  <c r="L28" i="23"/>
  <c r="K73" i="23"/>
  <c r="L73" i="23" s="1"/>
  <c r="L111" i="23"/>
  <c r="K111" i="23"/>
  <c r="L142" i="23"/>
  <c r="K142" i="23"/>
  <c r="C54" i="15"/>
  <c r="I29" i="24"/>
  <c r="I15" i="24"/>
  <c r="L105" i="23"/>
  <c r="K117" i="23"/>
  <c r="L117" i="23" s="1"/>
  <c r="K169" i="23"/>
  <c r="L169" i="23" s="1"/>
  <c r="L47" i="23"/>
  <c r="K47" i="23"/>
  <c r="K10" i="23"/>
  <c r="L10" i="23" s="1"/>
  <c r="K67" i="23"/>
  <c r="L67" i="23" s="1"/>
  <c r="K74" i="23"/>
  <c r="L74" i="23" s="1"/>
  <c r="K92" i="23"/>
  <c r="L92" i="23" s="1"/>
  <c r="L143" i="23"/>
  <c r="K143" i="23"/>
  <c r="E13" i="15"/>
  <c r="K13" i="15" s="1"/>
  <c r="E27" i="15"/>
  <c r="K27" i="15" s="1"/>
  <c r="K5" i="22"/>
  <c r="L5" i="22" s="1"/>
  <c r="K106" i="23"/>
  <c r="L106" i="23" s="1"/>
  <c r="K163" i="23"/>
  <c r="L163" i="23" s="1"/>
  <c r="L170" i="23"/>
  <c r="K170" i="23"/>
  <c r="K188" i="23"/>
  <c r="L188" i="23" s="1"/>
  <c r="L268" i="11"/>
  <c r="L412" i="11"/>
  <c r="G29" i="24"/>
  <c r="G15" i="24"/>
  <c r="L48" i="23"/>
  <c r="K48" i="23"/>
  <c r="K81" i="23"/>
  <c r="L81" i="23" s="1"/>
  <c r="L144" i="23"/>
  <c r="K144" i="23"/>
  <c r="K1" i="21"/>
  <c r="K23" i="23"/>
  <c r="L23" i="23" s="1"/>
  <c r="K30" i="23"/>
  <c r="L30" i="23" s="1"/>
  <c r="L132" i="23"/>
  <c r="L151" i="23"/>
  <c r="K177" i="23"/>
  <c r="L177" i="23" s="1"/>
  <c r="L196" i="23"/>
  <c r="J1" i="21"/>
  <c r="L11" i="22"/>
  <c r="L49" i="23"/>
  <c r="K49" i="23"/>
  <c r="L119" i="23"/>
  <c r="K119" i="23"/>
  <c r="K126" i="23"/>
  <c r="L126" i="23" s="1"/>
  <c r="C45" i="15"/>
  <c r="K11" i="22"/>
  <c r="K5" i="23"/>
  <c r="L5" i="23" s="1"/>
  <c r="L56" i="23"/>
  <c r="K56" i="23"/>
  <c r="K82" i="23"/>
  <c r="L82" i="23" s="1"/>
  <c r="K101" i="23"/>
  <c r="L101" i="23" s="1"/>
  <c r="K145" i="23"/>
  <c r="L145" i="23" s="1"/>
  <c r="L382" i="11"/>
  <c r="L24" i="23"/>
  <c r="K24" i="23"/>
  <c r="L31" i="23"/>
  <c r="K31" i="23"/>
  <c r="L69" i="23"/>
  <c r="K69" i="23"/>
  <c r="K76" i="23"/>
  <c r="L76" i="23"/>
  <c r="L94" i="23"/>
  <c r="K94" i="23"/>
  <c r="L152" i="23"/>
  <c r="K152" i="23"/>
  <c r="K178" i="23"/>
  <c r="L178" i="23" s="1"/>
  <c r="K197" i="23"/>
  <c r="L197" i="23"/>
  <c r="F25" i="27"/>
  <c r="F19" i="27"/>
  <c r="F24" i="27"/>
  <c r="F18" i="27"/>
  <c r="F23" i="27"/>
  <c r="F17" i="27"/>
  <c r="F28" i="27"/>
  <c r="F22" i="27"/>
  <c r="F27" i="27"/>
  <c r="F21" i="27"/>
  <c r="F26" i="27"/>
  <c r="F20" i="27"/>
  <c r="C44" i="15"/>
  <c r="C50" i="15"/>
  <c r="C46" i="15"/>
  <c r="K50" i="23"/>
  <c r="L50" i="23" s="1"/>
  <c r="L120" i="23"/>
  <c r="K120" i="23"/>
  <c r="L127" i="23"/>
  <c r="K127" i="23"/>
  <c r="K165" i="23"/>
  <c r="L165" i="23" s="1"/>
  <c r="K172" i="23"/>
  <c r="L172" i="23"/>
  <c r="L190" i="23"/>
  <c r="K190" i="23"/>
  <c r="L22" i="23"/>
  <c r="N21" i="24"/>
  <c r="K22" i="23"/>
  <c r="K118" i="23"/>
  <c r="L118" i="23" s="1"/>
  <c r="B8" i="24"/>
  <c r="K1" i="28"/>
  <c r="I1" i="28"/>
  <c r="L14" i="23"/>
  <c r="L110" i="23"/>
  <c r="L202" i="23"/>
  <c r="C8" i="24"/>
  <c r="C12" i="24" s="1"/>
  <c r="G204" i="22"/>
  <c r="K14" i="23"/>
  <c r="K110" i="23"/>
  <c r="K202" i="23"/>
  <c r="D8" i="24"/>
  <c r="D12" i="24" s="1"/>
  <c r="L102" i="23"/>
  <c r="E8" i="24"/>
  <c r="E12" i="24" s="1"/>
  <c r="H13" i="26"/>
  <c r="I13" i="26" s="1"/>
  <c r="J13" i="26" s="1"/>
  <c r="K13" i="26" s="1"/>
  <c r="K6" i="23"/>
  <c r="L6" i="23" s="1"/>
  <c r="K27" i="23"/>
  <c r="L27" i="23" s="1"/>
  <c r="K52" i="23"/>
  <c r="K77" i="23"/>
  <c r="L77" i="23" s="1"/>
  <c r="K102" i="23"/>
  <c r="K123" i="23"/>
  <c r="K148" i="23"/>
  <c r="L148" i="23" s="1"/>
  <c r="K173" i="23"/>
  <c r="L173" i="23" s="1"/>
  <c r="K198" i="23"/>
  <c r="L198" i="23" s="1"/>
  <c r="F8" i="24"/>
  <c r="F12" i="24" s="1"/>
  <c r="H5" i="26"/>
  <c r="I5" i="26" s="1"/>
  <c r="J5" i="26" s="1"/>
  <c r="K5" i="26" s="1"/>
  <c r="H15" i="22"/>
  <c r="I15" i="22" s="1"/>
  <c r="H8" i="24"/>
  <c r="H12" i="24" s="1"/>
  <c r="L86" i="23"/>
  <c r="L182" i="23"/>
  <c r="H12" i="22"/>
  <c r="I12" i="22" s="1"/>
  <c r="L12" i="22" s="1"/>
  <c r="D7" i="25"/>
  <c r="F7" i="25" s="1"/>
  <c r="D6" i="25"/>
  <c r="F6" i="25" s="1"/>
  <c r="D10" i="25"/>
  <c r="F10" i="25" s="1"/>
  <c r="L8" i="24"/>
  <c r="L12" i="24" s="1"/>
  <c r="D5" i="25"/>
  <c r="F5" i="25" s="1"/>
  <c r="D9" i="25"/>
  <c r="F9" i="25" s="1"/>
  <c r="D4" i="25"/>
  <c r="F4" i="25" s="1"/>
  <c r="D8" i="25"/>
  <c r="F8" i="25" s="1"/>
  <c r="D3" i="25"/>
  <c r="F3" i="25" s="1"/>
  <c r="K11" i="23"/>
  <c r="L11" i="23" s="1"/>
  <c r="K36" i="23"/>
  <c r="L36" i="23" s="1"/>
  <c r="K61" i="23"/>
  <c r="L61" i="23" s="1"/>
  <c r="K86" i="23"/>
  <c r="K107" i="23"/>
  <c r="L107" i="23" s="1"/>
  <c r="K132" i="23"/>
  <c r="K157" i="23"/>
  <c r="L157" i="23" s="1"/>
  <c r="K182" i="23"/>
  <c r="J8" i="24"/>
  <c r="J12" i="24" s="1"/>
  <c r="L78" i="23"/>
  <c r="L174" i="23"/>
  <c r="K8" i="24"/>
  <c r="K12" i="24" s="1"/>
  <c r="B30" i="24"/>
  <c r="B33" i="24" s="1"/>
  <c r="N27" i="24"/>
  <c r="N30" i="24" s="1"/>
  <c r="K28" i="23"/>
  <c r="K53" i="23"/>
  <c r="K78" i="23"/>
  <c r="K174" i="23"/>
  <c r="M8" i="24"/>
  <c r="M12" i="24" s="1"/>
  <c r="C27" i="24"/>
  <c r="L70" i="23"/>
  <c r="L166" i="23"/>
  <c r="D27" i="24"/>
  <c r="N20" i="24"/>
  <c r="N22" i="24"/>
  <c r="L66" i="23"/>
  <c r="L162" i="23"/>
  <c r="N10" i="24"/>
  <c r="E27" i="24"/>
  <c r="L62" i="23"/>
  <c r="L158" i="23"/>
  <c r="F30" i="24"/>
  <c r="F33" i="24" s="1"/>
  <c r="L32" i="24"/>
  <c r="L58" i="23"/>
  <c r="L154" i="23"/>
  <c r="G27" i="24"/>
  <c r="H33" i="24"/>
  <c r="H30" i="24"/>
  <c r="K4" i="23"/>
  <c r="L4" i="23" s="1"/>
  <c r="K29" i="23"/>
  <c r="L29" i="23" s="1"/>
  <c r="K54" i="23"/>
  <c r="L54" i="23" s="1"/>
  <c r="K75" i="23"/>
  <c r="L75" i="23" s="1"/>
  <c r="K100" i="23"/>
  <c r="L100" i="23" s="1"/>
  <c r="K125" i="23"/>
  <c r="L125" i="23" s="1"/>
  <c r="K150" i="23"/>
  <c r="L150" i="23" s="1"/>
  <c r="K171" i="23"/>
  <c r="L171" i="23" s="1"/>
  <c r="K196" i="23"/>
  <c r="I33" i="24"/>
  <c r="I30" i="24"/>
  <c r="H3" i="22"/>
  <c r="C4" i="25" s="1"/>
  <c r="G4" i="25" s="1"/>
  <c r="J30" i="24"/>
  <c r="J33" i="24" s="1"/>
  <c r="L42" i="23"/>
  <c r="K33" i="24"/>
  <c r="K30" i="24"/>
  <c r="I7" i="26"/>
  <c r="J7" i="26" s="1"/>
  <c r="K7" i="26" s="1"/>
  <c r="I13" i="21"/>
  <c r="H17" i="22"/>
  <c r="I17" i="22" s="1"/>
  <c r="L17" i="22" s="1"/>
  <c r="K17" i="23"/>
  <c r="L17" i="23" s="1"/>
  <c r="K42" i="23"/>
  <c r="K63" i="23"/>
  <c r="L63" i="23" s="1"/>
  <c r="K88" i="23"/>
  <c r="L88" i="23" s="1"/>
  <c r="K113" i="23"/>
  <c r="L113" i="23" s="1"/>
  <c r="K138" i="23"/>
  <c r="L138" i="23" s="1"/>
  <c r="K159" i="23"/>
  <c r="L159" i="23" s="1"/>
  <c r="K184" i="23"/>
  <c r="L184" i="23" s="1"/>
  <c r="L33" i="24"/>
  <c r="L30" i="24"/>
  <c r="M30" i="24"/>
  <c r="M33" i="24" s="1"/>
  <c r="H7" i="22"/>
  <c r="C3" i="25" s="1"/>
  <c r="G3" i="25" s="1"/>
  <c r="K45" i="1" s="1"/>
  <c r="K34" i="23"/>
  <c r="L34" i="23" s="1"/>
  <c r="K55" i="23"/>
  <c r="L55" i="23" s="1"/>
  <c r="K80" i="23"/>
  <c r="L80" i="23" s="1"/>
  <c r="K105" i="23"/>
  <c r="K130" i="23"/>
  <c r="L130" i="23" s="1"/>
  <c r="K151" i="23"/>
  <c r="K176" i="23"/>
  <c r="L176" i="23" s="1"/>
  <c r="K201" i="23"/>
  <c r="L201" i="23" s="1"/>
  <c r="N18" i="24"/>
  <c r="E3" i="25"/>
  <c r="N19" i="24"/>
  <c r="N23" i="24"/>
  <c r="G3" i="26"/>
  <c r="H3" i="26" s="1"/>
  <c r="F14" i="26"/>
  <c r="H14" i="26" s="1"/>
  <c r="I14" i="26" s="1"/>
  <c r="J14" i="26" s="1"/>
  <c r="K14" i="26" s="1"/>
  <c r="H16" i="26"/>
  <c r="J18" i="26"/>
  <c r="E25" i="26"/>
  <c r="G27" i="26"/>
  <c r="I29" i="26"/>
  <c r="K31" i="26"/>
  <c r="F38" i="26"/>
  <c r="H40" i="26"/>
  <c r="J42" i="26"/>
  <c r="E49" i="26"/>
  <c r="G51" i="26"/>
  <c r="I53" i="26"/>
  <c r="K55" i="26"/>
  <c r="F62" i="26"/>
  <c r="H64" i="26"/>
  <c r="J66" i="26"/>
  <c r="E73" i="26"/>
  <c r="G75" i="26"/>
  <c r="I77" i="26"/>
  <c r="K79" i="26"/>
  <c r="F86" i="26"/>
  <c r="H88" i="26"/>
  <c r="J90" i="26"/>
  <c r="E97" i="26"/>
  <c r="G99" i="26"/>
  <c r="I101" i="26"/>
  <c r="G14" i="26"/>
  <c r="I16" i="26"/>
  <c r="H27" i="26"/>
  <c r="J29" i="26"/>
  <c r="G38" i="26"/>
  <c r="I40" i="26"/>
  <c r="H51" i="26"/>
  <c r="J53" i="26"/>
  <c r="G62" i="26"/>
  <c r="I64" i="26"/>
  <c r="J77" i="26"/>
  <c r="G86" i="26"/>
  <c r="I88" i="26"/>
  <c r="J101" i="26"/>
  <c r="J16" i="26"/>
  <c r="E23" i="26"/>
  <c r="G25" i="26"/>
  <c r="I27" i="26"/>
  <c r="K29" i="26"/>
  <c r="H38" i="26"/>
  <c r="J40" i="26"/>
  <c r="E47" i="26"/>
  <c r="G49" i="26"/>
  <c r="I51" i="26"/>
  <c r="K53" i="26"/>
  <c r="H62" i="26"/>
  <c r="J64" i="26"/>
  <c r="E71" i="26"/>
  <c r="G73" i="26"/>
  <c r="I75" i="26"/>
  <c r="K77" i="26"/>
  <c r="H86" i="26"/>
  <c r="J88" i="26"/>
  <c r="E95" i="26"/>
  <c r="G97" i="26"/>
  <c r="I99" i="26"/>
  <c r="K101" i="26"/>
  <c r="F6" i="27"/>
  <c r="F12" i="27" s="1"/>
  <c r="G12" i="27" s="1"/>
  <c r="E10" i="26"/>
  <c r="H10" i="26" s="1"/>
  <c r="I10" i="26" s="1"/>
  <c r="J10" i="26" s="1"/>
  <c r="K10" i="26" s="1"/>
  <c r="K16" i="26"/>
  <c r="F23" i="26"/>
  <c r="H25" i="26"/>
  <c r="J27" i="26"/>
  <c r="E34" i="26"/>
  <c r="I38" i="26"/>
  <c r="K40" i="26"/>
  <c r="F47" i="26"/>
  <c r="H49" i="26"/>
  <c r="J51" i="26"/>
  <c r="E58" i="26"/>
  <c r="I62" i="26"/>
  <c r="K64" i="26"/>
  <c r="F71" i="26"/>
  <c r="H73" i="26"/>
  <c r="J75" i="26"/>
  <c r="E82" i="26"/>
  <c r="I86" i="26"/>
  <c r="K88" i="26"/>
  <c r="F95" i="26"/>
  <c r="H97" i="26"/>
  <c r="J99" i="26"/>
  <c r="F11" i="27"/>
  <c r="G23" i="26"/>
  <c r="J38" i="26"/>
  <c r="G47" i="26"/>
  <c r="J62" i="26"/>
  <c r="G71" i="26"/>
  <c r="J86" i="26"/>
  <c r="G95" i="26"/>
  <c r="E8" i="26"/>
  <c r="H8" i="26" s="1"/>
  <c r="I8" i="26" s="1"/>
  <c r="J8" i="26" s="1"/>
  <c r="K8" i="26" s="1"/>
  <c r="G10" i="26"/>
  <c r="H23" i="26"/>
  <c r="J25" i="26"/>
  <c r="E32" i="26"/>
  <c r="G34" i="26"/>
  <c r="K38" i="26"/>
  <c r="H47" i="26"/>
  <c r="J49" i="26"/>
  <c r="E56" i="26"/>
  <c r="G58" i="26"/>
  <c r="K62" i="26"/>
  <c r="H71" i="26"/>
  <c r="J73" i="26"/>
  <c r="E80" i="26"/>
  <c r="G82" i="26"/>
  <c r="K86" i="26"/>
  <c r="H95" i="26"/>
  <c r="J97" i="26"/>
  <c r="F8" i="26"/>
  <c r="E19" i="26"/>
  <c r="I23" i="26"/>
  <c r="F32" i="26"/>
  <c r="H34" i="26"/>
  <c r="E43" i="26"/>
  <c r="I47" i="26"/>
  <c r="F56" i="26"/>
  <c r="H58" i="26"/>
  <c r="E67" i="26"/>
  <c r="I71" i="26"/>
  <c r="F80" i="26"/>
  <c r="H82" i="26"/>
  <c r="E91" i="26"/>
  <c r="I95" i="26"/>
  <c r="D12" i="27"/>
  <c r="J23" i="26"/>
  <c r="J47" i="26"/>
  <c r="J71" i="26"/>
  <c r="G80" i="26"/>
  <c r="J95" i="26"/>
  <c r="E17" i="26"/>
  <c r="G19" i="26"/>
  <c r="H32" i="26"/>
  <c r="J34" i="26"/>
  <c r="E41" i="26"/>
  <c r="G43" i="26"/>
  <c r="H56" i="26"/>
  <c r="J58" i="26"/>
  <c r="E65" i="26"/>
  <c r="G67" i="26"/>
  <c r="H80" i="26"/>
  <c r="J82" i="26"/>
  <c r="E89" i="26"/>
  <c r="G91" i="26"/>
  <c r="E4" i="26"/>
  <c r="H4" i="26" s="1"/>
  <c r="I4" i="26" s="1"/>
  <c r="J4" i="26" s="1"/>
  <c r="K4" i="26" s="1"/>
  <c r="F17" i="26"/>
  <c r="H19" i="26"/>
  <c r="E28" i="26"/>
  <c r="I32" i="26"/>
  <c r="F41" i="26"/>
  <c r="H43" i="26"/>
  <c r="E52" i="26"/>
  <c r="I56" i="26"/>
  <c r="F65" i="26"/>
  <c r="H67" i="26"/>
  <c r="E76" i="26"/>
  <c r="I80" i="26"/>
  <c r="F89" i="26"/>
  <c r="H91" i="26"/>
  <c r="E100" i="26"/>
  <c r="G17" i="26"/>
  <c r="G41" i="26"/>
  <c r="J56" i="26"/>
  <c r="G65" i="26"/>
  <c r="J80" i="26"/>
  <c r="G89" i="26"/>
  <c r="G4" i="26"/>
  <c r="H17" i="26"/>
  <c r="J19" i="26"/>
  <c r="E26" i="26"/>
  <c r="G28" i="26"/>
  <c r="H41" i="26"/>
  <c r="J43" i="26"/>
  <c r="E50" i="26"/>
  <c r="G52" i="26"/>
  <c r="H65" i="26"/>
  <c r="J67" i="26"/>
  <c r="E74" i="26"/>
  <c r="G76" i="26"/>
  <c r="H89" i="26"/>
  <c r="J91" i="26"/>
  <c r="E98" i="26"/>
  <c r="G100" i="26"/>
  <c r="E13" i="26"/>
  <c r="I17" i="26"/>
  <c r="F26" i="26"/>
  <c r="H28" i="26"/>
  <c r="E37" i="26"/>
  <c r="I41" i="26"/>
  <c r="F50" i="26"/>
  <c r="H52" i="26"/>
  <c r="E61" i="26"/>
  <c r="I65" i="26"/>
  <c r="F74" i="26"/>
  <c r="H76" i="26"/>
  <c r="E85" i="26"/>
  <c r="I89" i="26"/>
  <c r="F98" i="26"/>
  <c r="H100" i="26"/>
  <c r="F8" i="27"/>
  <c r="J17" i="26"/>
  <c r="G26" i="26"/>
  <c r="J41" i="26"/>
  <c r="G50" i="26"/>
  <c r="J65" i="26"/>
  <c r="G74" i="26"/>
  <c r="J89" i="26"/>
  <c r="G98" i="26"/>
  <c r="E11" i="26"/>
  <c r="H26" i="26"/>
  <c r="E35" i="26"/>
  <c r="H50" i="26"/>
  <c r="E59" i="26"/>
  <c r="H74" i="26"/>
  <c r="E83" i="26"/>
  <c r="H98" i="26"/>
  <c r="F11" i="26"/>
  <c r="E22" i="26"/>
  <c r="F35" i="26"/>
  <c r="E46" i="26"/>
  <c r="F59" i="26"/>
  <c r="E70" i="26"/>
  <c r="F83" i="26"/>
  <c r="E94" i="26"/>
  <c r="E5" i="26"/>
  <c r="H20" i="26"/>
  <c r="E29" i="26"/>
  <c r="H44" i="26"/>
  <c r="E53" i="26"/>
  <c r="H68" i="26"/>
  <c r="E77" i="26"/>
  <c r="G79" i="26"/>
  <c r="H92" i="26"/>
  <c r="E101" i="26"/>
  <c r="F5" i="26"/>
  <c r="H7" i="26"/>
  <c r="E16" i="26"/>
  <c r="I20" i="26"/>
  <c r="F29" i="26"/>
  <c r="H31" i="26"/>
  <c r="E40" i="26"/>
  <c r="I44" i="26"/>
  <c r="F53" i="26"/>
  <c r="H55" i="26"/>
  <c r="E64" i="26"/>
  <c r="I68" i="26"/>
  <c r="F77" i="26"/>
  <c r="E88" i="26"/>
  <c r="I92" i="26"/>
  <c r="F101" i="26"/>
  <c r="F16" i="26"/>
  <c r="F40" i="26"/>
  <c r="F64" i="26"/>
  <c r="F88" i="26"/>
  <c r="M32" i="24" l="1"/>
  <c r="K32" i="24"/>
  <c r="C32" i="24"/>
  <c r="B32" i="24"/>
  <c r="D32" i="24"/>
  <c r="E32" i="24"/>
  <c r="F32" i="24"/>
  <c r="J32" i="24"/>
  <c r="G32" i="24"/>
  <c r="H32" i="24"/>
  <c r="I32" i="24"/>
  <c r="K8" i="22"/>
  <c r="L8" i="22" s="1"/>
  <c r="G30" i="1"/>
  <c r="I3" i="26"/>
  <c r="K15" i="22"/>
  <c r="L15" i="22" s="1"/>
  <c r="F54" i="9"/>
  <c r="F51" i="9"/>
  <c r="C47" i="10"/>
  <c r="C48" i="10"/>
  <c r="C49" i="10" s="1"/>
  <c r="C50" i="10" s="1"/>
  <c r="D29" i="24"/>
  <c r="D15" i="24"/>
  <c r="F29" i="27"/>
  <c r="H25" i="20"/>
  <c r="A40" i="1"/>
  <c r="K12" i="15"/>
  <c r="M37" i="15"/>
  <c r="L37" i="15"/>
  <c r="C29" i="27"/>
  <c r="L25" i="12"/>
  <c r="M25" i="12" s="1"/>
  <c r="L26" i="15"/>
  <c r="M26" i="15"/>
  <c r="D29" i="27"/>
  <c r="C29" i="24"/>
  <c r="C15" i="24"/>
  <c r="K29" i="24"/>
  <c r="K15" i="24"/>
  <c r="H15" i="24"/>
  <c r="H29" i="24"/>
  <c r="D5" i="24"/>
  <c r="L3" i="15"/>
  <c r="F5" i="24"/>
  <c r="L7" i="22"/>
  <c r="K7" i="22"/>
  <c r="D4" i="24" s="1"/>
  <c r="E39" i="15"/>
  <c r="F15" i="24"/>
  <c r="F29" i="24"/>
  <c r="L28" i="12"/>
  <c r="M28" i="12" s="1"/>
  <c r="J29" i="24"/>
  <c r="J15" i="24"/>
  <c r="L7" i="15"/>
  <c r="M7" i="15" s="1"/>
  <c r="E30" i="24"/>
  <c r="E33" i="24" s="1"/>
  <c r="N8" i="24"/>
  <c r="B12" i="24"/>
  <c r="L23" i="12"/>
  <c r="M23" i="12" s="1"/>
  <c r="H11" i="26"/>
  <c r="I11" i="26" s="1"/>
  <c r="J11" i="26" s="1"/>
  <c r="K11" i="26" s="1"/>
  <c r="L6" i="22"/>
  <c r="M29" i="15"/>
  <c r="L29" i="15"/>
  <c r="L15" i="15"/>
  <c r="M15" i="15"/>
  <c r="G8" i="25"/>
  <c r="L20" i="15"/>
  <c r="M20" i="15" s="1"/>
  <c r="G30" i="24"/>
  <c r="G33" i="24" s="1"/>
  <c r="L6" i="15"/>
  <c r="M6" i="15" s="1"/>
  <c r="L26" i="12"/>
  <c r="M26" i="12" s="1"/>
  <c r="D33" i="24"/>
  <c r="D30" i="24"/>
  <c r="L33" i="15"/>
  <c r="M33" i="15" s="1"/>
  <c r="L32" i="15"/>
  <c r="M32" i="15" s="1"/>
  <c r="G5" i="25"/>
  <c r="L24" i="15"/>
  <c r="M24" i="15" s="1"/>
  <c r="L22" i="12"/>
  <c r="M22" i="12" s="1"/>
  <c r="L18" i="15"/>
  <c r="M18" i="15"/>
  <c r="L19" i="15"/>
  <c r="M19" i="15"/>
  <c r="C30" i="24"/>
  <c r="C33" i="24"/>
  <c r="N33" i="24" s="1"/>
  <c r="E29" i="24"/>
  <c r="E15" i="24"/>
  <c r="L10" i="15"/>
  <c r="M10" i="15"/>
  <c r="L19" i="12"/>
  <c r="M19" i="12" s="1"/>
  <c r="M15" i="24"/>
  <c r="M29" i="24"/>
  <c r="L27" i="15"/>
  <c r="M27" i="15" s="1"/>
  <c r="B51" i="15" s="1"/>
  <c r="G6" i="25"/>
  <c r="L14" i="15"/>
  <c r="M14" i="15"/>
  <c r="L13" i="15"/>
  <c r="M13" i="15" s="1"/>
  <c r="C56" i="15"/>
  <c r="H204" i="22"/>
  <c r="E30" i="1"/>
  <c r="M8" i="15"/>
  <c r="L8" i="15"/>
  <c r="L29" i="24"/>
  <c r="L15" i="24"/>
  <c r="I3" i="22"/>
  <c r="G7" i="25"/>
  <c r="M35" i="15"/>
  <c r="L35" i="15"/>
  <c r="L20" i="12"/>
  <c r="M20" i="12" s="1"/>
  <c r="N32" i="24" l="1"/>
  <c r="B45" i="15"/>
  <c r="E18" i="27"/>
  <c r="B50" i="15"/>
  <c r="E23" i="27"/>
  <c r="E26" i="27"/>
  <c r="B53" i="15"/>
  <c r="E27" i="27"/>
  <c r="B54" i="15"/>
  <c r="E17" i="27"/>
  <c r="B44" i="15"/>
  <c r="L12" i="15"/>
  <c r="M12" i="15" s="1"/>
  <c r="F55" i="9"/>
  <c r="F56" i="9" s="1"/>
  <c r="K3" i="22"/>
  <c r="L3" i="22" s="1"/>
  <c r="I204" i="22"/>
  <c r="E25" i="27"/>
  <c r="B52" i="15"/>
  <c r="K39" i="15"/>
  <c r="B48" i="15"/>
  <c r="E21" i="27"/>
  <c r="B46" i="15"/>
  <c r="E19" i="27"/>
  <c r="E35" i="1"/>
  <c r="J3" i="26"/>
  <c r="K3" i="26" s="1"/>
  <c r="C107" i="26"/>
  <c r="C108" i="26" s="1"/>
  <c r="M3" i="15"/>
  <c r="E24" i="27"/>
  <c r="B29" i="24"/>
  <c r="N29" i="24" s="1"/>
  <c r="N12" i="24"/>
  <c r="N15" i="24" s="1"/>
  <c r="B15" i="24"/>
  <c r="E22" i="27"/>
  <c r="B49" i="15"/>
  <c r="F58" i="9" l="1"/>
  <c r="F65" i="9"/>
  <c r="F64" i="9"/>
  <c r="L204" i="22"/>
  <c r="A30" i="1"/>
  <c r="B47" i="15"/>
  <c r="E20" i="27"/>
  <c r="L39" i="15"/>
  <c r="K204" i="22"/>
  <c r="E4" i="24"/>
  <c r="N4" i="24" s="1"/>
  <c r="E5" i="24"/>
  <c r="N5" i="24" s="1"/>
  <c r="M39" i="15"/>
  <c r="D14" i="1" s="1"/>
  <c r="B55" i="15"/>
  <c r="B56" i="15" s="1"/>
  <c r="E28" i="27"/>
  <c r="E29" i="27" s="1"/>
  <c r="C109" i="26"/>
  <c r="G35" i="1"/>
  <c r="F59" i="9" l="1"/>
  <c r="F60" i="9" s="1"/>
  <c r="F61" i="9" l="1"/>
  <c r="F62" i="9" s="1"/>
  <c r="E13" i="4"/>
  <c r="F13" i="4" s="1"/>
  <c r="F19" i="4" s="1"/>
  <c r="F21" i="4" s="1"/>
  <c r="F22" i="4" l="1"/>
  <c r="F23" i="4"/>
</calcChain>
</file>

<file path=xl/sharedStrings.xml><?xml version="1.0" encoding="utf-8"?>
<sst xmlns="http://schemas.openxmlformats.org/spreadsheetml/2006/main" count="3260" uniqueCount="1772">
  <si>
    <t>JOINERY BUSINESS DASHBOARD</t>
  </si>
  <si>
    <t>ACTIVE PROJECTS</t>
  </si>
  <si>
    <t>IN QUOTATION</t>
  </si>
  <si>
    <t>IN PRODUCTION</t>
  </si>
  <si>
    <t>DELAYED</t>
  </si>
  <si>
    <t>READY FOR DELIVERY</t>
  </si>
  <si>
    <t>READY FOR INSTALLATION</t>
  </si>
  <si>
    <t>COMPLETED (all-time)</t>
  </si>
  <si>
    <t>UPCOMING DELIVERIES (14d)</t>
  </si>
  <si>
    <t>TOTAL QUOTED VALUE (€)</t>
  </si>
  <si>
    <t>TOTAL ESTIMATED COST (€)</t>
  </si>
  <si>
    <t>TOTAL ESTIMATED PROFIT (€)</t>
  </si>
  <si>
    <t>OVERALL PROFIT %</t>
  </si>
  <si>
    <t>TOTAL LABOR HOURS (logged)</t>
  </si>
  <si>
    <t>MONTHLY PAYROLL COST</t>
  </si>
  <si>
    <t>UPCOMING INSTALLATIONS (14d)</t>
  </si>
  <si>
    <t>PROJECTS THIS MONTH</t>
  </si>
  <si>
    <t>NEXT 14 DAYS — DELIVERIES &amp; INSTALLATIONS</t>
  </si>
  <si>
    <t>Date</t>
  </si>
  <si>
    <t>Customer</t>
  </si>
  <si>
    <t>Project ID</t>
  </si>
  <si>
    <t>Type</t>
  </si>
  <si>
    <t>Team</t>
  </si>
  <si>
    <t>Status</t>
  </si>
  <si>
    <t>FINANCE &amp; COMPLIANCE</t>
  </si>
  <si>
    <t>Outstanding Invoices</t>
  </si>
  <si>
    <t>Overdue Invoices</t>
  </si>
  <si>
    <t>VAT Payable</t>
  </si>
  <si>
    <t>Open Purchase Orders</t>
  </si>
  <si>
    <t>Open Snags</t>
  </si>
  <si>
    <t>Quotes Awaiting Reply</t>
  </si>
  <si>
    <t>Total unpaid balance</t>
  </si>
  <si>
    <t># past due date</t>
  </si>
  <si>
    <t>From paid invoices</t>
  </si>
  <si>
    <t>Awaiting delivery</t>
  </si>
  <si>
    <t>Not yet fixed</t>
  </si>
  <si>
    <t>Follow up</t>
  </si>
  <si>
    <t>Kitchens</t>
  </si>
  <si>
    <t>OPERATIONS &amp; AFTERCARE</t>
  </si>
  <si>
    <t>Active Warranties</t>
  </si>
  <si>
    <t>Warranties Expiring</t>
  </si>
  <si>
    <t>Budget Variance (total)</t>
  </si>
  <si>
    <t>Projects Over Budget</t>
  </si>
  <si>
    <t>Subcontractor Spend YTD</t>
  </si>
  <si>
    <t>Avg Capacity Used</t>
  </si>
  <si>
    <t>Products under cover</t>
  </si>
  <si>
    <t>Within 60 days</t>
  </si>
  <si>
    <t>Positive = under budget</t>
  </si>
  <si>
    <t>Review cost</t>
  </si>
  <si>
    <t>External labour</t>
  </si>
  <si>
    <t>Across 10 weeks</t>
  </si>
  <si>
    <t>Cabinets</t>
  </si>
  <si>
    <t>CASH &amp; FINANCE</t>
  </si>
  <si>
    <t>Total Bank Balance</t>
  </si>
  <si>
    <t>Cash Inflows YTD</t>
  </si>
  <si>
    <t>Cash Outflows YTD</t>
  </si>
  <si>
    <t>Net Cash Flow YTD</t>
  </si>
  <si>
    <t>Opex YTD</t>
  </si>
  <si>
    <t>Net Profit YTD</t>
  </si>
  <si>
    <t>Across all accounts</t>
  </si>
  <si>
    <t>All deposits &amp; receipts</t>
  </si>
  <si>
    <t>All payments &amp; expenses</t>
  </si>
  <si>
    <t>Inflows − Outflows</t>
  </si>
  <si>
    <t>Overhead only</t>
  </si>
  <si>
    <t>From P&amp;L statement</t>
  </si>
  <si>
    <t>COMPLIANCE &amp; ASSETS</t>
  </si>
  <si>
    <t>Leads Pipeline</t>
  </si>
  <si>
    <t>Weighted Pipeline</t>
  </si>
  <si>
    <t>Renewals Due (60d)</t>
  </si>
  <si>
    <t>Consumables to Reorder</t>
  </si>
  <si>
    <t>Equipment Value</t>
  </si>
  <si>
    <t>Next VAT Due</t>
  </si>
  <si>
    <t>Total est. value</t>
  </si>
  <si>
    <t>Probability-weighted</t>
  </si>
  <si>
    <t>Action required</t>
  </si>
  <si>
    <t>Below reorder point</t>
  </si>
  <si>
    <t>After depreciation</t>
  </si>
  <si>
    <t>Earliest unfiled quarter</t>
  </si>
  <si>
    <t>USER GUIDE — HOW TO USE THIS WORKBOOK</t>
  </si>
  <si>
    <t>COLOR CODING KEY (industry standard)</t>
  </si>
  <si>
    <t>Blue text on yellow</t>
  </si>
  <si>
    <t>Hardcoded INPUTS — change these freely. These drive every calculation.</t>
  </si>
  <si>
    <t>Black text</t>
  </si>
  <si>
    <t>FORMULAS — do not overwrite unless you understand the logic.</t>
  </si>
  <si>
    <t>Green text</t>
  </si>
  <si>
    <t>LINKS — pulled from another sheet. Changing source updates everything.</t>
  </si>
  <si>
    <t>Red/orange fill</t>
  </si>
  <si>
    <t>WARNING — overdue, delayed, or below-target. Needs attention.</t>
  </si>
  <si>
    <t>Green fill</t>
  </si>
  <si>
    <t>OK — on track or above target.</t>
  </si>
  <si>
    <t>FLOW — where to edit first</t>
  </si>
  <si>
    <t>1) Settings</t>
  </si>
  <si>
    <t>Open 'Settings' tab first. Edit VAT, Waste, Overhead, Markup, Labor rates, Category factors. Everything downstream references these. Change once → updates everywhere.</t>
  </si>
  <si>
    <t>2) Materials &amp; Hardware</t>
  </si>
  <si>
    <t>Update prices and suppliers on 'Materials' and 'Hardware' tabs. These feed the Cost Calculator and Cabinet Calculator via VLOOKUP.</t>
  </si>
  <si>
    <t>3) Staff</t>
  </si>
  <si>
    <t>Add / edit employees on 'Staff' tab. Set pay type (Salary or Hourly), monthly salary or hourly wage, and Employer Cost %. Feeds Payroll.</t>
  </si>
  <si>
    <t>4) Projects</t>
  </si>
  <si>
    <t>Add projects on 'Project_List'. Each row has status, dates, quoted value, cost, profit. Dashboard &amp; Reports aggregate from here.</t>
  </si>
  <si>
    <t>5) Cost_Calc</t>
  </si>
  <si>
    <t>For detailed costing of a single project: enter Project ID in C2 (row near top), then fill in quantities for materials and labor hours. Auto-calculates total cost, suggested price, profit.</t>
  </si>
  <si>
    <t>6) Quotation</t>
  </si>
  <si>
    <t>Pulls from Cost_Calc. Printable. Save as PDF to send to customer.</t>
  </si>
  <si>
    <t>7) Cabinet_Calc</t>
  </si>
  <si>
    <t>Parametric tool: enter dimensions &amp; material code. Returns full cost and suggested price. Duplicate the sheet for base / wall / tall / wardrobe types.</t>
  </si>
  <si>
    <t>8) Time_Tracking</t>
  </si>
  <si>
    <t>Log daily hours per employee &amp; project. Labor cost auto-calculated from staff hourly rate.</t>
  </si>
  <si>
    <t>9) Payroll</t>
  </si>
  <si>
    <t>One row per employee. Monthly calculation. Overtime, bonus, deductions editable. Gross pay and employer cost computed.</t>
  </si>
  <si>
    <t>10) Gantt</t>
  </si>
  <si>
    <t>One row per project-stage. Set Start, Duration, Progress. Bar chart auto-draws in the calendar columns; late tasks go red.</t>
  </si>
  <si>
    <t>11) Logistics</t>
  </si>
  <si>
    <t>Schedule deliveries and installations. Transport cost auto-calculates from distance and Settings fuel rate.</t>
  </si>
  <si>
    <t>12) Reports</t>
  </si>
  <si>
    <t>Summaries by category, department, month. Updates automatically.</t>
  </si>
  <si>
    <t>13) Dashboard</t>
  </si>
  <si>
    <t>KPI overview. Read-only — open this first thing each morning.</t>
  </si>
  <si>
    <t>GOLDEN RULES</t>
  </si>
  <si>
    <t>One change, global effect</t>
  </si>
  <si>
    <t>Never hardcode a rate or % inside a formula. Put it on Settings and reference the named range (e.g., =VAT_Rate, =Markup_Pct).</t>
  </si>
  <si>
    <t>IDs are sacred</t>
  </si>
  <si>
    <t>Project IDs (P-001...) and Employee IDs (E001...) drive all VLOOKUPs. Keep them unique and don't change once used.</t>
  </si>
  <si>
    <t>Don't delete rows in tables</t>
  </si>
  <si>
    <t>Tables (Projects, Staff, Materials) have up to 100 rows reserved. Overwrite instead of deleting, so formulas referencing them don't break.</t>
  </si>
  <si>
    <t>Save as new version monthly</t>
  </si>
  <si>
    <t>Payroll history matters. Save a copy at month-end before overwriting payroll.</t>
  </si>
  <si>
    <t>PRINTING</t>
  </si>
  <si>
    <t>Quotation</t>
  </si>
  <si>
    <t>Print area pre-set to Portrait, fit-to-page. Press Ctrl+P → Save as PDF → send to customer.</t>
  </si>
  <si>
    <t>Dashboard</t>
  </si>
  <si>
    <t>Best viewed on screen. For a printed version, set print area to A1:L30, landscape, fit-to-one-page.</t>
  </si>
  <si>
    <t>Reports</t>
  </si>
  <si>
    <t>Each section prints well. Insert page breaks manually if you want each section on its own page.</t>
  </si>
  <si>
    <t>TROUBLESHOOTING</t>
  </si>
  <si>
    <t>VALUE! in Cost_Calc</t>
  </si>
  <si>
    <t>Usually a missing material code in the Materials tab, or a Project ID that doesn't exist. Check C2 of Cost_Calc.</t>
  </si>
  <si>
    <t>Gantt bars not showing</t>
  </si>
  <si>
    <t>Check Start date is a real date and Duration is a number. Check Progress % is between 0 and 100%.</t>
  </si>
  <si>
    <t>Dashboard shows zeros</t>
  </si>
  <si>
    <t>Open the file in Excel (not LibreOffice) and press F9 to force recalc. Make sure macros / iterative calculation aren't disabled.</t>
  </si>
  <si>
    <t>NEW TABS — BUSINESS IMPROVEMENTS</t>
  </si>
  <si>
    <t>Tab</t>
  </si>
  <si>
    <t>Purpose</t>
  </si>
  <si>
    <t>Customers</t>
  </si>
  <si>
    <t>Customer database. Every new project links here via Customer_ID. Lifetime value auto-sums all their projects.</t>
  </si>
  <si>
    <t>Suppliers</t>
  </si>
  <si>
    <t>Supplier master list. Materials &amp; Hardware reference supplier by ID. Track lead times and payment terms.</t>
  </si>
  <si>
    <t>Invoices</t>
  </si>
  <si>
    <t>Deposit, progress, and final invoices per project. Auto-calculates VAT (19%) and outstanding balance. Status colour-coded.</t>
  </si>
  <si>
    <t>Purchase_Orders</t>
  </si>
  <si>
    <t>Orders placed with suppliers for materials/hardware. Status track: Draft → Sent → Received.</t>
  </si>
  <si>
    <t>Subcontractors</t>
  </si>
  <si>
    <t>External labour (polishers, installers, electricians). Log hours, rate, and total cost per project.</t>
  </si>
  <si>
    <t>Capacity</t>
  </si>
  <si>
    <t>Department capacity heatmap over 10 weeks. Green = headroom. Red = overbooked. Plan new jobs accordingly.</t>
  </si>
  <si>
    <t>Quote_Followup</t>
  </si>
  <si>
    <t>Every quote sent gets logged here. Auto-calculates days since sent and suggested follow-up date.</t>
  </si>
  <si>
    <t>Checklists</t>
  </si>
  <si>
    <t>Standard 12-item delivery and 20-item installation checklists. Marks progress % automatically.</t>
  </si>
  <si>
    <t>Snags</t>
  </si>
  <si>
    <t>Post-installation issue log. Track severity (Low/Medium/High/Critical) and resolution status.</t>
  </si>
  <si>
    <t>Cutting_List</t>
  </si>
  <si>
    <t>CNC-ready parts schedule per project. Dimensions → area → cost auto-calculate via Materials lookup.</t>
  </si>
  <si>
    <t>Price_History</t>
  </si>
  <si>
    <t>Every material/hardware price change logged with supplier, reason, and % change. Spots cost creep early.</t>
  </si>
  <si>
    <t>Variance</t>
  </si>
  <si>
    <t>For every project: compares Quoted Value vs Actual (materials + labour + transport). Status flags Over budget.</t>
  </si>
  <si>
    <t>Warranty</t>
  </si>
  <si>
    <t>Install dates + warranty period. Auto-flags expiring-soon items for proactive aftercare calls.</t>
  </si>
  <si>
    <t>Audit_Log</t>
  </si>
  <si>
    <t>Log key edits: who, what, when, why. Essential for multi-user environments and dispute resolution.</t>
  </si>
  <si>
    <t>RECOMMENDED WORKFLOW</t>
  </si>
  <si>
    <t>EVERY DAY</t>
  </si>
  <si>
    <t>1. Open Dashboard — check KPIs and warning cards. 2. Time_Tracking — log yesterday's hours per project. 3. Snags — update status of any open items. 4. Audit_Log — record significant changes.</t>
  </si>
  <si>
    <t>EVERY WEEK</t>
  </si>
  <si>
    <t>1. Quote_Followup — call/email quotes past 3 days. 2. Invoices — chase overdue payments. 3. Purchase_Orders — check for late deliveries. 4. Capacity — review next 2 weeks' workload. 5. Checklists — ensure completed jobs have signed checklists.</t>
  </si>
  <si>
    <t>EVERY MONTH</t>
  </si>
  <si>
    <t>1. Payroll — run monthly and export. 2. Variance — review completed projects vs budget. 3. Price_History — update for any supplier changes. 4. Warranty — call customers with expiring warranties. 5. Reports — review profit by category, export for accountant.</t>
  </si>
  <si>
    <t>EVERY QUARTER</t>
  </si>
  <si>
    <t>1. Settings — review rates (overhead %, markup %, labour rates). 2. Product_Pricing — recalculate based on latest material costs. 3. Suppliers — benchmark key materials; negotiate better terms. 4. Staff — performance review, update hourly rates.</t>
  </si>
  <si>
    <t>PHASE 9 ADDITIONS — CASH FLOW &amp; FINANCE</t>
  </si>
  <si>
    <t>Cash_Flow</t>
  </si>
  <si>
    <t>Every money in / money out entry. Auto-calculates running balance. Colour-coded Inflow/Outflow. Reconcile against bank statements.</t>
  </si>
  <si>
    <t>Bank_Accounts</t>
  </si>
  <si>
    <t>All your bank accounts + petty cash. Current balance = Opening + Inflows − Outflows (auto-pulled from Cash_Flow).</t>
  </si>
  <si>
    <t>Expenses</t>
  </si>
  <si>
    <t>Overhead and operating costs outside POs: rent, utilities, fuel, insurance, IT, marketing, etc. Feeds P&amp;L and VAT return.</t>
  </si>
  <si>
    <t>P_L</t>
  </si>
  <si>
    <t>Monthly profit &amp; loss statement for the full year. Revenue from paid invoices, COGS from materials/labour/subs/transport, OpEx from Expenses, depreciation from Equipment.</t>
  </si>
  <si>
    <t>VAT_Return</t>
  </si>
  <si>
    <t>Cyprus quarterly VAT (19%). Output VAT (sales) minus Input VAT (purchases + expenses) = amount due. Filing status tracked.</t>
  </si>
  <si>
    <t>Equipment</t>
  </si>
  <si>
    <t>Fixed asset register: CNC, saws, vans, etc. Straight-line depreciation calculated. Service schedule with overdue alerts.</t>
  </si>
  <si>
    <t>Leads</t>
  </si>
  <si>
    <t>Pipeline before formal quote. Source tracking (referral, Google, Facebook…). Probability × estimated value = weighted forecast.</t>
  </si>
  <si>
    <t>Consumables</t>
  </si>
  <si>
    <t>Small items stock: abrasives, drill bits, screws, edging, glue, PPE. Auto "Reorder" / "Critical" status when below reorder point.</t>
  </si>
  <si>
    <t>Renewals</t>
  </si>
  <si>
    <t>Insurance, vehicle registration, licences, software, lease — with auto alerts 30/60 days before expiry.</t>
  </si>
  <si>
    <t>CASH FLOW — HOW IT LINKS TOGETHER</t>
  </si>
  <si>
    <t>Invoice paid → Cash_Flow</t>
  </si>
  <si>
    <t>When a customer pays, add an Inflow to Cash_Flow (Category = Customer_payment) referencing Invoice_ID. Bank_Accounts current balance updates.</t>
  </si>
  <si>
    <t>PO received → Cash_Flow</t>
  </si>
  <si>
    <t>When you pay a supplier, add an Outflow (Category = Supplier_payment) referencing PO_ID. Also update Purchase_Orders status to "Received/Paid".</t>
  </si>
  <si>
    <t>Monthly payroll → Cash_Flow</t>
  </si>
  <si>
    <t>After running Payroll each month, add one Outflow row (Category = Payroll) with total net wages. Reconcile against your BA-002 (Payroll) account.</t>
  </si>
  <si>
    <t>Expense paid → Cash_Flow</t>
  </si>
  <si>
    <t>Every row in Expenses should have a corresponding Cash_Flow entry (Category = matching expense type). Total must agree.</t>
  </si>
  <si>
    <t>VAT paid → Cash_Flow</t>
  </si>
  <si>
    <t>When filing VAT_Return, add an Outflow (Category = VAT) for the Net_VAT_Due. Typically from your tax reserve (BA-003).</t>
  </si>
  <si>
    <t>Bank reconciliation</t>
  </si>
  <si>
    <t>Weekly: match every Cash_Flow entry against your bank statement. Mark "Reconciled = Yes". Discrepancies = needs investigation.</t>
  </si>
  <si>
    <t>Pipeline:</t>
  </si>
  <si>
    <t>Weighted:</t>
  </si>
  <si>
    <t>Lead_ID</t>
  </si>
  <si>
    <t>Date_Received</t>
  </si>
  <si>
    <t>Customer_Name</t>
  </si>
  <si>
    <t>Phone</t>
  </si>
  <si>
    <t>Email</t>
  </si>
  <si>
    <t>Source</t>
  </si>
  <si>
    <t>Interest</t>
  </si>
  <si>
    <t>Est_Value</t>
  </si>
  <si>
    <t>Probability</t>
  </si>
  <si>
    <t>Weighted</t>
  </si>
  <si>
    <t>Stage</t>
  </si>
  <si>
    <t>Next_Action_Date</t>
  </si>
  <si>
    <t>Notes</t>
  </si>
  <si>
    <t>L-001</t>
  </si>
  <si>
    <t>Alexis Demetriou</t>
  </si>
  <si>
    <t>99-111222</t>
  </si>
  <si>
    <t>alexis@mail.cy</t>
  </si>
  <si>
    <t>Referral</t>
  </si>
  <si>
    <t>L-002</t>
  </si>
  <si>
    <t>Maria Kypri</t>
  </si>
  <si>
    <t>99-222333</t>
  </si>
  <si>
    <t>maria.k@mail.cy</t>
  </si>
  <si>
    <t>Google</t>
  </si>
  <si>
    <t>Wardrobes</t>
  </si>
  <si>
    <t>L-003</t>
  </si>
  <si>
    <t>Nicos Papadopoulos</t>
  </si>
  <si>
    <t>99-333444</t>
  </si>
  <si>
    <t>nicos@gmail.com</t>
  </si>
  <si>
    <t>Facebook</t>
  </si>
  <si>
    <t>Doors</t>
  </si>
  <si>
    <t>L-004</t>
  </si>
  <si>
    <t>Katerina Savva</t>
  </si>
  <si>
    <t>99-444555</t>
  </si>
  <si>
    <t>ks@mail.cy</t>
  </si>
  <si>
    <t>Website</t>
  </si>
  <si>
    <t>Furniture</t>
  </si>
  <si>
    <t>L-005</t>
  </si>
  <si>
    <t>Christos Loizou</t>
  </si>
  <si>
    <t>99-555666</t>
  </si>
  <si>
    <t>chris.l@mail.cy</t>
  </si>
  <si>
    <t>L-006</t>
  </si>
  <si>
    <t>Eleftheria M.</t>
  </si>
  <si>
    <t>99-666777</t>
  </si>
  <si>
    <t>ele@mail.cy</t>
  </si>
  <si>
    <t>Walk_in</t>
  </si>
  <si>
    <t>Wall panels</t>
  </si>
  <si>
    <t>L-007</t>
  </si>
  <si>
    <t>Dimitris K.</t>
  </si>
  <si>
    <t>99-777888</t>
  </si>
  <si>
    <t>dk@mail.cy</t>
  </si>
  <si>
    <t>Instagram</t>
  </si>
  <si>
    <t>L-008</t>
  </si>
  <si>
    <t>Anna P.</t>
  </si>
  <si>
    <t>99-888999</t>
  </si>
  <si>
    <t>anna@mail.cy</t>
  </si>
  <si>
    <t>Repeat_customer</t>
  </si>
  <si>
    <t>L-009</t>
  </si>
  <si>
    <t>George T.</t>
  </si>
  <si>
    <t>99-999000</t>
  </si>
  <si>
    <t>gt@mail.cy</t>
  </si>
  <si>
    <t>L-010</t>
  </si>
  <si>
    <t>Sofia R.</t>
  </si>
  <si>
    <t>99-000111</t>
  </si>
  <si>
    <t>sofia@mail.cy</t>
  </si>
  <si>
    <t>CUSTOMER QUOTATION — print or save as PDF for customer</t>
  </si>
  <si>
    <t>Quotation Ref:</t>
  </si>
  <si>
    <t>Q-2026-0001</t>
  </si>
  <si>
    <t>Date:</t>
  </si>
  <si>
    <t>Valid Until:</t>
  </si>
  <si>
    <t>Project Ref:</t>
  </si>
  <si>
    <t>BILL TO</t>
  </si>
  <si>
    <t>DESCRIPTION</t>
  </si>
  <si>
    <t>CATEGORY</t>
  </si>
  <si>
    <t>QTY</t>
  </si>
  <si>
    <t>UNIT PRICE (€)</t>
  </si>
  <si>
    <t>LINE TOTAL (€)</t>
  </si>
  <si>
    <t>Delivery &amp; Installation</t>
  </si>
  <si>
    <t>Logistics</t>
  </si>
  <si>
    <t>Optional extras</t>
  </si>
  <si>
    <t>Subtotal</t>
  </si>
  <si>
    <t>Discount</t>
  </si>
  <si>
    <t>Net</t>
  </si>
  <si>
    <t>VAT (19%)</t>
  </si>
  <si>
    <t>GRAND TOTAL</t>
  </si>
  <si>
    <t>PAYMENT TERMS</t>
  </si>
  <si>
    <t>Offer valid 30 days. Prices include materials and labour. Delivery to site included within 30 km.</t>
  </si>
  <si>
    <t>Accepted by (Customer):</t>
  </si>
  <si>
    <t>For Company:</t>
  </si>
  <si>
    <t>_______________________________</t>
  </si>
  <si>
    <t>QUOTE FOLLOW-UP TRACKER — chase quotations that have gone cold</t>
  </si>
  <si>
    <t>Quote Ref</t>
  </si>
  <si>
    <t>Quote Date</t>
  </si>
  <si>
    <t>Amount (€)</t>
  </si>
  <si>
    <t>Days Since Sent</t>
  </si>
  <si>
    <t>Last Contact</t>
  </si>
  <si>
    <t>Next Follow-up</t>
  </si>
  <si>
    <t>Owner</t>
  </si>
  <si>
    <t>Outcome</t>
  </si>
  <si>
    <t>P-001</t>
  </si>
  <si>
    <t>Maria A.</t>
  </si>
  <si>
    <t>Accepted</t>
  </si>
  <si>
    <t>Q-2026-0002</t>
  </si>
  <si>
    <t>P-002</t>
  </si>
  <si>
    <t>George D.</t>
  </si>
  <si>
    <t>Q-2026-0003</t>
  </si>
  <si>
    <t>P-005</t>
  </si>
  <si>
    <t>Pending</t>
  </si>
  <si>
    <t>Q-2026-0004</t>
  </si>
  <si>
    <t>P-007</t>
  </si>
  <si>
    <t>Q-2026-0005</t>
  </si>
  <si>
    <t>P-008</t>
  </si>
  <si>
    <t>Q-2026-0006</t>
  </si>
  <si>
    <t>P-009</t>
  </si>
  <si>
    <t>Q-2026-0007</t>
  </si>
  <si>
    <t>P-012</t>
  </si>
  <si>
    <t>Q-2026-0008</t>
  </si>
  <si>
    <t>P-011</t>
  </si>
  <si>
    <t>Won but delayed</t>
  </si>
  <si>
    <t>PROJECT MASTER LIST — one row per project</t>
  </si>
  <si>
    <t>Project Name</t>
  </si>
  <si>
    <t>Category</t>
  </si>
  <si>
    <t>Priority</t>
  </si>
  <si>
    <t>Salesperson</t>
  </si>
  <si>
    <t>Site Location</t>
  </si>
  <si>
    <t>Start Date</t>
  </si>
  <si>
    <t>Deadline</t>
  </si>
  <si>
    <t>Delivery Date</t>
  </si>
  <si>
    <t>Install Date</t>
  </si>
  <si>
    <t>Quoted Value (€)</t>
  </si>
  <si>
    <t>Est. Cost (€)</t>
  </si>
  <si>
    <t>Profit (€)</t>
  </si>
  <si>
    <t>Profit %</t>
  </si>
  <si>
    <t>Deposit Received (€)</t>
  </si>
  <si>
    <t>Balance Due (€)</t>
  </si>
  <si>
    <t>Progress %</t>
  </si>
  <si>
    <t>Anastasiou</t>
  </si>
  <si>
    <t>Villa Kitchen</t>
  </si>
  <si>
    <t>In Production</t>
  </si>
  <si>
    <t>High</t>
  </si>
  <si>
    <t>Nicosia</t>
  </si>
  <si>
    <t>Savvas</t>
  </si>
  <si>
    <t>Master Bedroom Wardrobe</t>
  </si>
  <si>
    <t>Approved</t>
  </si>
  <si>
    <t>Medium</t>
  </si>
  <si>
    <t>Limassol</t>
  </si>
  <si>
    <t>P-003</t>
  </si>
  <si>
    <t>Kolitiki Ltd</t>
  </si>
  <si>
    <t>Office Wall Panels</t>
  </si>
  <si>
    <t>Delivered</t>
  </si>
  <si>
    <t>P-004</t>
  </si>
  <si>
    <t>Leonida &amp; Sons</t>
  </si>
  <si>
    <t>Showroom Ceiling</t>
  </si>
  <si>
    <t>Ceiling panels</t>
  </si>
  <si>
    <t>Completed</t>
  </si>
  <si>
    <t>Low</t>
  </si>
  <si>
    <t>Larnaca</t>
  </si>
  <si>
    <t>Pastelis</t>
  </si>
  <si>
    <t>Entry Doors x3</t>
  </si>
  <si>
    <t>Paphos</t>
  </si>
  <si>
    <t>P-006</t>
  </si>
  <si>
    <t>Dimitris V.</t>
  </si>
  <si>
    <t>Kitchen Ivoni</t>
  </si>
  <si>
    <t>Ready for Installation</t>
  </si>
  <si>
    <t>Critical</t>
  </si>
  <si>
    <t>George Petrou</t>
  </si>
  <si>
    <t>Living Room Furniture</t>
  </si>
  <si>
    <t>Angelis</t>
  </si>
  <si>
    <t>Walk-in Wardrobe</t>
  </si>
  <si>
    <t>Design</t>
  </si>
  <si>
    <t>Hadjipanayi</t>
  </si>
  <si>
    <t>Kitchen Renovation</t>
  </si>
  <si>
    <t>P-010</t>
  </si>
  <si>
    <t>Eleni R.</t>
  </si>
  <si>
    <t>Bookshelf Custom</t>
  </si>
  <si>
    <t>Nikoletta</t>
  </si>
  <si>
    <t>Cabinets Utility Room</t>
  </si>
  <si>
    <t>Delayed</t>
  </si>
  <si>
    <t>Sergei</t>
  </si>
  <si>
    <t>Residence Doors &amp; Kitchen</t>
  </si>
  <si>
    <t>Site Measurement</t>
  </si>
  <si>
    <t>CUSTOMERS — master CRM. Every project, quote, invoice links here via Customer ID.</t>
  </si>
  <si>
    <t>Customer ID</t>
  </si>
  <si>
    <t>Name</t>
  </si>
  <si>
    <t>Contact Person</t>
  </si>
  <si>
    <t>Address</t>
  </si>
  <si>
    <t>VAT No</t>
  </si>
  <si>
    <t>First Contact</t>
  </si>
  <si>
    <t>Last Activity</t>
  </si>
  <si>
    <t>Lifetime Value (€)</t>
  </si>
  <si>
    <t>C-001</t>
  </si>
  <si>
    <t>Mr Anastasiou</t>
  </si>
  <si>
    <t>+357 99 112233</t>
  </si>
  <si>
    <t>anast@example.com</t>
  </si>
  <si>
    <t>10 Athalassa Ave, Nicosia</t>
  </si>
  <si>
    <t>Residential</t>
  </si>
  <si>
    <t>C-002</t>
  </si>
  <si>
    <t>Mr Savvas</t>
  </si>
  <si>
    <t>+357 99 223344</t>
  </si>
  <si>
    <t>savvas@example.com</t>
  </si>
  <si>
    <t>15 Lefkosias, Limassol</t>
  </si>
  <si>
    <t>C-003</t>
  </si>
  <si>
    <t>Mrs Kolitiki</t>
  </si>
  <si>
    <t>+357 22 445566</t>
  </si>
  <si>
    <t>info@kolitiki.com</t>
  </si>
  <si>
    <t>Industrial Zone, Nicosia</t>
  </si>
  <si>
    <t>CY10202020A</t>
  </si>
  <si>
    <t>Commercial</t>
  </si>
  <si>
    <t>C-004</t>
  </si>
  <si>
    <t>Mr Leonida</t>
  </si>
  <si>
    <t>+357 22 556677</t>
  </si>
  <si>
    <t>office@leonidasons.com</t>
  </si>
  <si>
    <t>Franklin Roosevelt, Larnaca</t>
  </si>
  <si>
    <t>CY10303030B</t>
  </si>
  <si>
    <t>C-005</t>
  </si>
  <si>
    <t>Mrs Pastelis</t>
  </si>
  <si>
    <t>+357 99 334455</t>
  </si>
  <si>
    <t>Kato Paphos</t>
  </si>
  <si>
    <t>C-006</t>
  </si>
  <si>
    <t>Dimitris</t>
  </si>
  <si>
    <t>+357 99 556677</t>
  </si>
  <si>
    <t>dimitrisv@example.com</t>
  </si>
  <si>
    <t>43 Dimosthenous, Nicosia</t>
  </si>
  <si>
    <t>C-007</t>
  </si>
  <si>
    <t>George</t>
  </si>
  <si>
    <t>+357 99 667788</t>
  </si>
  <si>
    <t>g.petrou@example.com</t>
  </si>
  <si>
    <t>Pirgos, Limassol</t>
  </si>
  <si>
    <t>C-008</t>
  </si>
  <si>
    <t>Mr Angelis</t>
  </si>
  <si>
    <t>+357 99 778899</t>
  </si>
  <si>
    <t>Nicosia Centre</t>
  </si>
  <si>
    <t>C-009</t>
  </si>
  <si>
    <t>Mrs Hadjipanayi</t>
  </si>
  <si>
    <t>+357 99 889900</t>
  </si>
  <si>
    <t>Limassol Marina</t>
  </si>
  <si>
    <t>C-010</t>
  </si>
  <si>
    <t>Eleni</t>
  </si>
  <si>
    <t>+357 99 990011</t>
  </si>
  <si>
    <t>eleni@example.com</t>
  </si>
  <si>
    <t>Strovolos, Nicosia</t>
  </si>
  <si>
    <t>C-011</t>
  </si>
  <si>
    <t>+357 99 101112</t>
  </si>
  <si>
    <t>C-012</t>
  </si>
  <si>
    <t>+357 99 121314</t>
  </si>
  <si>
    <t>sergei@example.com</t>
  </si>
  <si>
    <t>Dhekelia, Nicosia</t>
  </si>
  <si>
    <t>GANTT / PRODUCTION SCHEDULE — bars auto-draw from Start &amp; Duration</t>
  </si>
  <si>
    <t>Responsible</t>
  </si>
  <si>
    <t>Start</t>
  </si>
  <si>
    <t>Duration (d)</t>
  </si>
  <si>
    <t>End</t>
  </si>
  <si>
    <t>Progress</t>
  </si>
  <si>
    <t>Quote</t>
  </si>
  <si>
    <t>Ordering materials</t>
  </si>
  <si>
    <t>Office</t>
  </si>
  <si>
    <t>Cutting</t>
  </si>
  <si>
    <t>CNC</t>
  </si>
  <si>
    <t>Edge banding</t>
  </si>
  <si>
    <t>Assembly</t>
  </si>
  <si>
    <t>Sanding</t>
  </si>
  <si>
    <t>Painting/Finishing</t>
  </si>
  <si>
    <t>Paint</t>
  </si>
  <si>
    <t>Packing</t>
  </si>
  <si>
    <t>Delivery</t>
  </si>
  <si>
    <t>Installation</t>
  </si>
  <si>
    <t>Site measurement</t>
  </si>
  <si>
    <t>Approval</t>
  </si>
  <si>
    <t>COST CALCULATOR — detailed costing for one project. Change Project ID to use.</t>
  </si>
  <si>
    <t>Project ID:</t>
  </si>
  <si>
    <t>Quoted Value (€):</t>
  </si>
  <si>
    <t>Customer:</t>
  </si>
  <si>
    <t>Project Name:</t>
  </si>
  <si>
    <t>Category:</t>
  </si>
  <si>
    <t>1. MATERIALS</t>
  </si>
  <si>
    <t>#</t>
  </si>
  <si>
    <t>Item</t>
  </si>
  <si>
    <t>Qty</t>
  </si>
  <si>
    <t>Unit</t>
  </si>
  <si>
    <t>Unit Cost (€)</t>
  </si>
  <si>
    <t>Line Total (€)</t>
  </si>
  <si>
    <t>Melamine 18mm White</t>
  </si>
  <si>
    <t>m²</t>
  </si>
  <si>
    <t>Melamine 25mm White</t>
  </si>
  <si>
    <t>MDF 18mm Standard</t>
  </si>
  <si>
    <t>Plywood 18mm Birch</t>
  </si>
  <si>
    <t>Solid Oak Timber</t>
  </si>
  <si>
    <t>m³</t>
  </si>
  <si>
    <t>2K PU Lacquer White</t>
  </si>
  <si>
    <t>L</t>
  </si>
  <si>
    <t>Edge Banding 22mm White</t>
  </si>
  <si>
    <t>m</t>
  </si>
  <si>
    <t>Hinges (Soft-Close)</t>
  </si>
  <si>
    <t>pcs</t>
  </si>
  <si>
    <t>Drawer System 500mm</t>
  </si>
  <si>
    <t>set</t>
  </si>
  <si>
    <t>Handle 128mm SS</t>
  </si>
  <si>
    <t>LED Strip</t>
  </si>
  <si>
    <t>roll</t>
  </si>
  <si>
    <t>Packaging + Consumables</t>
  </si>
  <si>
    <t>lot</t>
  </si>
  <si>
    <t>Materials subtotal</t>
  </si>
  <si>
    <t>Waste allowance</t>
  </si>
  <si>
    <t>TOTAL MATERIALS</t>
  </si>
  <si>
    <t>2. LABOR</t>
  </si>
  <si>
    <t>Labor line</t>
  </si>
  <si>
    <t>Hours</t>
  </si>
  <si>
    <t>Dept</t>
  </si>
  <si>
    <t>Rate (€/h)</t>
  </si>
  <si>
    <t>Total (€)</t>
  </si>
  <si>
    <t>Site measuring</t>
  </si>
  <si>
    <t>Painting / finishing</t>
  </si>
  <si>
    <t>Loading / packing</t>
  </si>
  <si>
    <t>Management / supervision</t>
  </si>
  <si>
    <t>Management</t>
  </si>
  <si>
    <t>TOTAL LABOR</t>
  </si>
  <si>
    <t>3. OTHER COSTS</t>
  </si>
  <si>
    <t>Qty/Km</t>
  </si>
  <si>
    <t>Transport (delivery)</t>
  </si>
  <si>
    <t>km</t>
  </si>
  <si>
    <t>Delivery base fee</t>
  </si>
  <si>
    <t>visit</t>
  </si>
  <si>
    <t>Installation base fee</t>
  </si>
  <si>
    <t>Outsourced work</t>
  </si>
  <si>
    <t>Site work</t>
  </si>
  <si>
    <t>Miscellaneous</t>
  </si>
  <si>
    <t>TOTAL OTHER COSTS</t>
  </si>
  <si>
    <t>4. COST SUMMARY &amp; PRICING</t>
  </si>
  <si>
    <t>Materials total</t>
  </si>
  <si>
    <t>Labor total</t>
  </si>
  <si>
    <t>Other costs total</t>
  </si>
  <si>
    <t>Direct cost</t>
  </si>
  <si>
    <t>Overhead %</t>
  </si>
  <si>
    <t>TOTAL PROJECT COST</t>
  </si>
  <si>
    <t>Suggested Selling Price (before VAT)</t>
  </si>
  <si>
    <t>Discount %</t>
  </si>
  <si>
    <t>Net selling price (before VAT)</t>
  </si>
  <si>
    <t>VAT %</t>
  </si>
  <si>
    <t>GRAND TOTAL (incl. VAT)</t>
  </si>
  <si>
    <t>Profit vs quoted:</t>
  </si>
  <si>
    <t>Profit % (vs quoted):</t>
  </si>
  <si>
    <t>CABINET CALCULATOR — enter dimensions, get full cost &amp; price</t>
  </si>
  <si>
    <t>INPUTS</t>
  </si>
  <si>
    <t>Cabinet Type</t>
  </si>
  <si>
    <t>Base cabinet</t>
  </si>
  <si>
    <t>Width</t>
  </si>
  <si>
    <t>mm</t>
  </si>
  <si>
    <t>Height</t>
  </si>
  <si>
    <t>Depth</t>
  </si>
  <si>
    <t>Number of shelves</t>
  </si>
  <si>
    <t>Number of drawers</t>
  </si>
  <si>
    <t>Number of doors</t>
  </si>
  <si>
    <t>Material type</t>
  </si>
  <si>
    <t>MEL-18-WH</t>
  </si>
  <si>
    <t>code</t>
  </si>
  <si>
    <t>Material thickness</t>
  </si>
  <si>
    <t>Back panel type</t>
  </si>
  <si>
    <t>MDF-16</t>
  </si>
  <si>
    <t>Hardware level</t>
  </si>
  <si>
    <t>1=basic,2=std,3=premium</t>
  </si>
  <si>
    <t>Labor factor</t>
  </si>
  <si>
    <t>x</t>
  </si>
  <si>
    <t>Complexity factor</t>
  </si>
  <si>
    <t>Finish type</t>
  </si>
  <si>
    <t>Laminated</t>
  </si>
  <si>
    <t>CALCULATIONS</t>
  </si>
  <si>
    <t>Side panel area (2x)</t>
  </si>
  <si>
    <t>Top/bottom area (2x)</t>
  </si>
  <si>
    <t>Shelf area (total)</t>
  </si>
  <si>
    <t>Door area (total)</t>
  </si>
  <si>
    <t>Back panel area</t>
  </si>
  <si>
    <t>Total panel material (excl back)</t>
  </si>
  <si>
    <t>Back panel material</t>
  </si>
  <si>
    <t>Edge banding length</t>
  </si>
  <si>
    <t>MATERIAL COSTS</t>
  </si>
  <si>
    <t>Panel material cost</t>
  </si>
  <si>
    <t>€</t>
  </si>
  <si>
    <t>Back panel cost</t>
  </si>
  <si>
    <t>Edge banding cost</t>
  </si>
  <si>
    <t>Hinges cost</t>
  </si>
  <si>
    <t>Drawer systems cost</t>
  </si>
  <si>
    <t>Handles cost</t>
  </si>
  <si>
    <t>Consumables cost</t>
  </si>
  <si>
    <t>MATERIAL COST (before waste)</t>
  </si>
  <si>
    <t>Material waste @ Waste_Pct</t>
  </si>
  <si>
    <t>TOTAL MATERIAL COST</t>
  </si>
  <si>
    <t>LABOR</t>
  </si>
  <si>
    <t>Estimated labor hours</t>
  </si>
  <si>
    <t>h</t>
  </si>
  <si>
    <t>Blended labor rate (€/h)</t>
  </si>
  <si>
    <t>€/h</t>
  </si>
  <si>
    <t>LABOR COST</t>
  </si>
  <si>
    <t>TOTAL &amp; PRICING</t>
  </si>
  <si>
    <t>Overhead</t>
  </si>
  <si>
    <t>TOTAL COST</t>
  </si>
  <si>
    <t>SUGGESTED SELLING PRICE (before VAT)</t>
  </si>
  <si>
    <t>Price + VAT</t>
  </si>
  <si>
    <t>NOTE: Duplicate this sheet for each cabinet type (Base, Wall, Tall, Wardrobe, Custom). Adjust Material, Hardware level, Labor factor, and Complexity factor to match.</t>
  </si>
  <si>
    <t>Cutting List — CNC-Ready Parts Schedule</t>
  </si>
  <si>
    <t>Enter parts per project. Area &amp; cost auto-calculate.</t>
  </si>
  <si>
    <t>Total Parts:</t>
  </si>
  <si>
    <t>Project_ID</t>
  </si>
  <si>
    <t>Part_ID</t>
  </si>
  <si>
    <t>Part_Name</t>
  </si>
  <si>
    <t>Material_Code</t>
  </si>
  <si>
    <t>Length_mm</t>
  </si>
  <si>
    <t>Width_mm</t>
  </si>
  <si>
    <t>Thick_mm</t>
  </si>
  <si>
    <t>Area_m²</t>
  </si>
  <si>
    <t>Edge_Band_m</t>
  </si>
  <si>
    <t>Cost_Per_Unit</t>
  </si>
  <si>
    <t>Total_Cost</t>
  </si>
  <si>
    <t>Grain_Direction</t>
  </si>
  <si>
    <t>Machine_Route</t>
  </si>
  <si>
    <t>Cut_Status</t>
  </si>
  <si>
    <t>P-2026-001</t>
  </si>
  <si>
    <t>PT-001</t>
  </si>
  <si>
    <t>Base cabinet side L</t>
  </si>
  <si>
    <t>Long</t>
  </si>
  <si>
    <t>CNC_Nest</t>
  </si>
  <si>
    <t>PT-002</t>
  </si>
  <si>
    <t>Base cabinet side R</t>
  </si>
  <si>
    <t>PT-003</t>
  </si>
  <si>
    <t>Base cabinet bottom</t>
  </si>
  <si>
    <t>Cross</t>
  </si>
  <si>
    <t>PT-004</t>
  </si>
  <si>
    <t>Base cabinet back</t>
  </si>
  <si>
    <t>HDF-3-WH</t>
  </si>
  <si>
    <t>None</t>
  </si>
  <si>
    <t>PT-005</t>
  </si>
  <si>
    <t>Base cabinet shelf</t>
  </si>
  <si>
    <t>PT-006</t>
  </si>
  <si>
    <t>Door front</t>
  </si>
  <si>
    <t>MDF-18-RAW</t>
  </si>
  <si>
    <t>PT-007</t>
  </si>
  <si>
    <t>Drawer box side</t>
  </si>
  <si>
    <t>PT-008</t>
  </si>
  <si>
    <t>Drawer box front/back</t>
  </si>
  <si>
    <t>PT-009</t>
  </si>
  <si>
    <t>Drawer bottom</t>
  </si>
  <si>
    <t>Panel_Saw</t>
  </si>
  <si>
    <t>P-2026-002</t>
  </si>
  <si>
    <t>PT-010</t>
  </si>
  <si>
    <t>Wardrobe side panel</t>
  </si>
  <si>
    <t>MEL-18-OAK</t>
  </si>
  <si>
    <t>PT-011</t>
  </si>
  <si>
    <t>Wardrobe top/bottom</t>
  </si>
  <si>
    <t>PT-012</t>
  </si>
  <si>
    <t>Wardrobe back</t>
  </si>
  <si>
    <t>PT-013</t>
  </si>
  <si>
    <t>Wardrobe door</t>
  </si>
  <si>
    <t>PT-014</t>
  </si>
  <si>
    <t>Wardrobe shelf</t>
  </si>
  <si>
    <t>CAPACITY PLANNER — weekly department workload vs available hours</t>
  </si>
  <si>
    <t>AVAILABLE HOURS PER WEEK (edit these)</t>
  </si>
  <si>
    <t>Department</t>
  </si>
  <si>
    <t>Headcount</t>
  </si>
  <si>
    <t>Hours/Person/Week</t>
  </si>
  <si>
    <t>Available Hrs/Week</t>
  </si>
  <si>
    <t>WORKLOAD BY WEEK — from Gantt stages (hours = stage duration × 8 × headcount estimate)</t>
  </si>
  <si>
    <t>Total Hrs</t>
  </si>
  <si>
    <t>Avg Utilisation</t>
  </si>
  <si>
    <t>STAFF MASTER — 35 employees. Edit rates, department, status.</t>
  </si>
  <si>
    <t>Emp ID</t>
  </si>
  <si>
    <t>Role</t>
  </si>
  <si>
    <t>Pay Type</t>
  </si>
  <si>
    <t>Monthly Salary (€)</t>
  </si>
  <si>
    <t>Hourly Wage (€)</t>
  </si>
  <si>
    <t>Standard Hrs/Month</t>
  </si>
  <si>
    <t>Employer Cost Factor</t>
  </si>
  <si>
    <t>Active</t>
  </si>
  <si>
    <t>E001</t>
  </si>
  <si>
    <t>Petros K.</t>
  </si>
  <si>
    <t>Managing Director</t>
  </si>
  <si>
    <t>Salary</t>
  </si>
  <si>
    <t>Yes</t>
  </si>
  <si>
    <t>E002</t>
  </si>
  <si>
    <t>Office Manager</t>
  </si>
  <si>
    <t>E003</t>
  </si>
  <si>
    <t>Elena P.</t>
  </si>
  <si>
    <t>Accountant</t>
  </si>
  <si>
    <t>E004</t>
  </si>
  <si>
    <t>Sales Manager</t>
  </si>
  <si>
    <t>E005</t>
  </si>
  <si>
    <t>Christina S.</t>
  </si>
  <si>
    <t>Lead Designer</t>
  </si>
  <si>
    <t>E006</t>
  </si>
  <si>
    <t>Andreas M.</t>
  </si>
  <si>
    <t>Designer</t>
  </si>
  <si>
    <t>E007</t>
  </si>
  <si>
    <t>Sofia K.</t>
  </si>
  <si>
    <t>E008</t>
  </si>
  <si>
    <t>CNC Operator Snr</t>
  </si>
  <si>
    <t>Hourly</t>
  </si>
  <si>
    <t>E009</t>
  </si>
  <si>
    <t>Yiannis N.</t>
  </si>
  <si>
    <t>CNC Operator</t>
  </si>
  <si>
    <t>E010</t>
  </si>
  <si>
    <t>Kostas L.</t>
  </si>
  <si>
    <t>Panel Saw Op.</t>
  </si>
  <si>
    <t>E011</t>
  </si>
  <si>
    <t>Panicos T.</t>
  </si>
  <si>
    <t>E012</t>
  </si>
  <si>
    <t>Marios C.</t>
  </si>
  <si>
    <t>Cutting Asst.</t>
  </si>
  <si>
    <t>E013</t>
  </si>
  <si>
    <t>Stelios H.</t>
  </si>
  <si>
    <t>Edge Banding Op.</t>
  </si>
  <si>
    <t>E014</t>
  </si>
  <si>
    <t>Nikos O.</t>
  </si>
  <si>
    <t>E015</t>
  </si>
  <si>
    <t>Pavlos G.</t>
  </si>
  <si>
    <t>Assembly Lead</t>
  </si>
  <si>
    <t>E016</t>
  </si>
  <si>
    <t>Lambros A.</t>
  </si>
  <si>
    <t>Assembler</t>
  </si>
  <si>
    <t>E017</t>
  </si>
  <si>
    <t>Theodoros F.</t>
  </si>
  <si>
    <t>E018</t>
  </si>
  <si>
    <t>Vasilis I.</t>
  </si>
  <si>
    <t>E019</t>
  </si>
  <si>
    <t>Tassos R.</t>
  </si>
  <si>
    <t>E020</t>
  </si>
  <si>
    <t>Michalis U.</t>
  </si>
  <si>
    <t>Sanding Lead</t>
  </si>
  <si>
    <t>E021</t>
  </si>
  <si>
    <t>Savvas W.</t>
  </si>
  <si>
    <t>Sander</t>
  </si>
  <si>
    <t>E022</t>
  </si>
  <si>
    <t>Loukas J.</t>
  </si>
  <si>
    <t>E023</t>
  </si>
  <si>
    <t>Christos E.</t>
  </si>
  <si>
    <t>Paint Foreman</t>
  </si>
  <si>
    <t>E024</t>
  </si>
  <si>
    <t>Alexis B.</t>
  </si>
  <si>
    <t>Painter</t>
  </si>
  <si>
    <t>E025</t>
  </si>
  <si>
    <t>Iakovos D.</t>
  </si>
  <si>
    <t>E026</t>
  </si>
  <si>
    <t>Rafael V.</t>
  </si>
  <si>
    <t>E027</t>
  </si>
  <si>
    <t>Evagoras N.</t>
  </si>
  <si>
    <t>Packer</t>
  </si>
  <si>
    <t>E028</t>
  </si>
  <si>
    <t>Orestis Q.</t>
  </si>
  <si>
    <t>Packer / Driver</t>
  </si>
  <si>
    <t>E029</t>
  </si>
  <si>
    <t>Prodromos Z.</t>
  </si>
  <si>
    <t>Driver</t>
  </si>
  <si>
    <t>E030</t>
  </si>
  <si>
    <t>Achilleas Y.</t>
  </si>
  <si>
    <t>Driver / Installer</t>
  </si>
  <si>
    <t>E031</t>
  </si>
  <si>
    <t>Konstantinos X.</t>
  </si>
  <si>
    <t>Installer</t>
  </si>
  <si>
    <t>E032</t>
  </si>
  <si>
    <t>Neoklis P.</t>
  </si>
  <si>
    <t>E033</t>
  </si>
  <si>
    <t>Spyros M.</t>
  </si>
  <si>
    <t>E034</t>
  </si>
  <si>
    <t>Filippos J.</t>
  </si>
  <si>
    <t>Production Mgr</t>
  </si>
  <si>
    <t>E035</t>
  </si>
  <si>
    <t>Angelos K.</t>
  </si>
  <si>
    <t>Site Supervisor</t>
  </si>
  <si>
    <t>TIME TRACKING — link employee hours to projects</t>
  </si>
  <si>
    <t>Employee Name</t>
  </si>
  <si>
    <t>Task / Stage</t>
  </si>
  <si>
    <t>Hourly Rate (€)</t>
  </si>
  <si>
    <t>Overtime Hrs</t>
  </si>
  <si>
    <t>Labor Cost (€)</t>
  </si>
  <si>
    <t>MONTHLY PAYROLL — blue cells = editable per month. Totals auto-calc.</t>
  </si>
  <si>
    <t>Base Pay (€)</t>
  </si>
  <si>
    <t>Std Hrs</t>
  </si>
  <si>
    <t>OT Hrs</t>
  </si>
  <si>
    <t>OT Rate (€)</t>
  </si>
  <si>
    <t>Bonus (€)</t>
  </si>
  <si>
    <t>Deductions (€)</t>
  </si>
  <si>
    <t>Gross Pay (€)</t>
  </si>
  <si>
    <t>Employer Cost (€)</t>
  </si>
  <si>
    <t>Total Cost (€)</t>
  </si>
  <si>
    <t>TOTAL</t>
  </si>
  <si>
    <t>DEPARTMENT PAYROLL SUMMARY</t>
  </si>
  <si>
    <t>SUBCONTRACTORS — outsourced work (glass, stone, metal, electrical)</t>
  </si>
  <si>
    <t>Sub ID</t>
  </si>
  <si>
    <t>Trade</t>
  </si>
  <si>
    <t>Company</t>
  </si>
  <si>
    <t>Contact</t>
  </si>
  <si>
    <t>Description</t>
  </si>
  <si>
    <t>Agreed Price (€)</t>
  </si>
  <si>
    <t>Paid (€)</t>
  </si>
  <si>
    <t>Outstanding (€)</t>
  </si>
  <si>
    <t>SC-001</t>
  </si>
  <si>
    <t>Stone</t>
  </si>
  <si>
    <t>Marble Works Ltd</t>
  </si>
  <si>
    <t>Mr Marble</t>
  </si>
  <si>
    <t>Kitchen worktop granite cut &amp; polish</t>
  </si>
  <si>
    <t>Ordered</t>
  </si>
  <si>
    <t>SC-002</t>
  </si>
  <si>
    <t>Glass</t>
  </si>
  <si>
    <t>Glass Pro</t>
  </si>
  <si>
    <t>Mrs Glass</t>
  </si>
  <si>
    <t>4mm mirror inserts on wall cabinets</t>
  </si>
  <si>
    <t>Quoted</t>
  </si>
  <si>
    <t>SC-003</t>
  </si>
  <si>
    <t>Electrical</t>
  </si>
  <si>
    <t>BrightWire</t>
  </si>
  <si>
    <t>Mr Wire</t>
  </si>
  <si>
    <t>LED kitchen lighting installation</t>
  </si>
  <si>
    <t>Confirmed</t>
  </si>
  <si>
    <t>SC-004</t>
  </si>
  <si>
    <t>Sliding glass door x2</t>
  </si>
  <si>
    <t>SC-005</t>
  </si>
  <si>
    <t>Large worktop + backsplash</t>
  </si>
  <si>
    <t>LOGISTICS PLANNER — deliveries &amp; installations</t>
  </si>
  <si>
    <t>Scheduled Date</t>
  </si>
  <si>
    <t>Time</t>
  </si>
  <si>
    <t>Vehicle</t>
  </si>
  <si>
    <t>Distance (km)</t>
  </si>
  <si>
    <t>Transport Cost (€)</t>
  </si>
  <si>
    <t>Materials Loaded</t>
  </si>
  <si>
    <t>Special Instructions</t>
  </si>
  <si>
    <t>09:00</t>
  </si>
  <si>
    <t>Driver A + Helper</t>
  </si>
  <si>
    <t>Truck A</t>
  </si>
  <si>
    <t>Villa Kitchen components</t>
  </si>
  <si>
    <t>Access from rear</t>
  </si>
  <si>
    <t>Scheduled</t>
  </si>
  <si>
    <t>08:00</t>
  </si>
  <si>
    <t>Install Team 1</t>
  </si>
  <si>
    <t>Van 1</t>
  </si>
  <si>
    <t>Hinges, drawer fronts</t>
  </si>
  <si>
    <t>Customer home 8-18</t>
  </si>
  <si>
    <t>11:00</t>
  </si>
  <si>
    <t>Driver B</t>
  </si>
  <si>
    <t>Van 2</t>
  </si>
  <si>
    <t>Call before arrival</t>
  </si>
  <si>
    <t>08:30</t>
  </si>
  <si>
    <t>Install Team 2</t>
  </si>
  <si>
    <t>Kitchen units</t>
  </si>
  <si>
    <t>Kitchen on 1st floor</t>
  </si>
  <si>
    <t>15 Evagorou, Paphos</t>
  </si>
  <si>
    <t>10:00</t>
  </si>
  <si>
    <t>Driver A</t>
  </si>
  <si>
    <t>Utility cabinets</t>
  </si>
  <si>
    <t>Delayed — material issue</t>
  </si>
  <si>
    <t>Overdue</t>
  </si>
  <si>
    <t>DELIVERY &amp; INSTALLATION CHECKLISTS — tick items per project visit</t>
  </si>
  <si>
    <t>A. DELIVERY CHECKLIST (per delivery visit)</t>
  </si>
  <si>
    <t>Task</t>
  </si>
  <si>
    <t>Signed By</t>
  </si>
  <si>
    <t>Completion %</t>
  </si>
  <si>
    <t>B. INSTALLATION CHECKLIST (per installation visit)</t>
  </si>
  <si>
    <t>Tip: Duplicate this tab per project visit. Keep a filled-in copy in the project folder as proof of completion.</t>
  </si>
  <si>
    <t>Cash Flow — Inflows &amp; Outflows</t>
  </si>
  <si>
    <t>Total Inflows:</t>
  </si>
  <si>
    <t>Total Outflows:</t>
  </si>
  <si>
    <t>Net:</t>
  </si>
  <si>
    <t>CF_ID</t>
  </si>
  <si>
    <t>Amount</t>
  </si>
  <si>
    <t>Account_ID</t>
  </si>
  <si>
    <t>Related_Entity</t>
  </si>
  <si>
    <t>Running_Balance</t>
  </si>
  <si>
    <t>Reconciled</t>
  </si>
  <si>
    <t>CF-0001</t>
  </si>
  <si>
    <t>Customer_payment</t>
  </si>
  <si>
    <t>Inflow</t>
  </si>
  <si>
    <t>Deposit P-2026-001 40%</t>
  </si>
  <si>
    <t>BA-001</t>
  </si>
  <si>
    <t>CF-0002</t>
  </si>
  <si>
    <t>Supplier_payment</t>
  </si>
  <si>
    <t>Outflow</t>
  </si>
  <si>
    <t>PO-0001 Panels S-001</t>
  </si>
  <si>
    <t>PO-0001</t>
  </si>
  <si>
    <t>CF-0003</t>
  </si>
  <si>
    <t>Rent</t>
  </si>
  <si>
    <t>Factory rent Jan</t>
  </si>
  <si>
    <t>Landlord</t>
  </si>
  <si>
    <t>CF-0004</t>
  </si>
  <si>
    <t>Utilities</t>
  </si>
  <si>
    <t>Electricity Dec</t>
  </si>
  <si>
    <t>EAC</t>
  </si>
  <si>
    <t>CF-0005</t>
  </si>
  <si>
    <t>Payroll</t>
  </si>
  <si>
    <t>Staff salaries Jan</t>
  </si>
  <si>
    <t>BA-002</t>
  </si>
  <si>
    <t>CF-0006</t>
  </si>
  <si>
    <t>Progress P-2026-002 40%</t>
  </si>
  <si>
    <t>CF-0007</t>
  </si>
  <si>
    <t>PO-0002 Hardware S-003</t>
  </si>
  <si>
    <t>BA-005</t>
  </si>
  <si>
    <t>PO-0002</t>
  </si>
  <si>
    <t>CF-0008</t>
  </si>
  <si>
    <t>Fuel</t>
  </si>
  <si>
    <t>Delivery fuel Feb</t>
  </si>
  <si>
    <t>Shell</t>
  </si>
  <si>
    <t>CF-0009</t>
  </si>
  <si>
    <t>Subcontractor</t>
  </si>
  <si>
    <t>Polisher SC-001</t>
  </si>
  <si>
    <t>CF-0010</t>
  </si>
  <si>
    <t>Final P-2026-001</t>
  </si>
  <si>
    <t>CF-0011</t>
  </si>
  <si>
    <t>Staff salaries Feb</t>
  </si>
  <si>
    <t>CF-0012</t>
  </si>
  <si>
    <t>VAT</t>
  </si>
  <si>
    <t>VAT return Q4 2025</t>
  </si>
  <si>
    <t>BA-003</t>
  </si>
  <si>
    <t>Tax Dept</t>
  </si>
  <si>
    <t>CF-0013</t>
  </si>
  <si>
    <t>Deposit P-2026-004</t>
  </si>
  <si>
    <t>P-2026-004</t>
  </si>
  <si>
    <t>CF-0014</t>
  </si>
  <si>
    <t>Insurance</t>
  </si>
  <si>
    <t>Vehicle &amp; factory insurance Q1</t>
  </si>
  <si>
    <t>Insurance Co</t>
  </si>
  <si>
    <t>CF-0015</t>
  </si>
  <si>
    <t>PO-0005 CNC bits S-006</t>
  </si>
  <si>
    <t>PO-0005</t>
  </si>
  <si>
    <t>CF-0016</t>
  </si>
  <si>
    <t>Staff salaries Mar</t>
  </si>
  <si>
    <t>CF-0017</t>
  </si>
  <si>
    <t>Progress P-2026-003 40%</t>
  </si>
  <si>
    <t>P-2026-003</t>
  </si>
  <si>
    <t>CF-0018</t>
  </si>
  <si>
    <t>Bank_fee</t>
  </si>
  <si>
    <t>Bank charges Q1</t>
  </si>
  <si>
    <t>BoC</t>
  </si>
  <si>
    <t>CF-0019</t>
  </si>
  <si>
    <t>Deposit P-2026-006</t>
  </si>
  <si>
    <t>P-2026-006</t>
  </si>
  <si>
    <t>CF-0020</t>
  </si>
  <si>
    <t>PO-0007 Melamine S-001</t>
  </si>
  <si>
    <t>PO-0007</t>
  </si>
  <si>
    <t>Bank Accounts &amp; Cash</t>
  </si>
  <si>
    <t>Opening balance + cash flow = current balance.</t>
  </si>
  <si>
    <t>Account_Name</t>
  </si>
  <si>
    <t>Currency</t>
  </si>
  <si>
    <t>Bank</t>
  </si>
  <si>
    <t>Opening_Balance</t>
  </si>
  <si>
    <t>Inflows_YTD</t>
  </si>
  <si>
    <t>Outflows_YTD</t>
  </si>
  <si>
    <t>Current_Balance</t>
  </si>
  <si>
    <t>Main Current Account</t>
  </si>
  <si>
    <t>EUR</t>
  </si>
  <si>
    <t>Bank of Cyprus</t>
  </si>
  <si>
    <t>Primary operating account</t>
  </si>
  <si>
    <t>Payroll Account</t>
  </si>
  <si>
    <t>Staff salaries only</t>
  </si>
  <si>
    <t>Savings / Tax Reserve</t>
  </si>
  <si>
    <t>Hellenic Bank</t>
  </si>
  <si>
    <t>Set aside for VAT &amp; income tax</t>
  </si>
  <si>
    <t>BA-004</t>
  </si>
  <si>
    <t>Petty Cash</t>
  </si>
  <si>
    <t>Cash</t>
  </si>
  <si>
    <t>Small purchases, receipts</t>
  </si>
  <si>
    <t>Supplier FX Account</t>
  </si>
  <si>
    <t>RCB Bank</t>
  </si>
  <si>
    <t>For EU supplier payments</t>
  </si>
  <si>
    <t>Expenses — Overhead &amp; Operating Costs</t>
  </si>
  <si>
    <t>All non-project spend. Feeds P&amp;L and VAT return.</t>
  </si>
  <si>
    <t>Net YTD:</t>
  </si>
  <si>
    <t>VAT YTD:</t>
  </si>
  <si>
    <t>Expense_ID</t>
  </si>
  <si>
    <t>Vendor</t>
  </si>
  <si>
    <t>Net_Amount</t>
  </si>
  <si>
    <t>VAT_Rate</t>
  </si>
  <si>
    <t>VAT_Amount</t>
  </si>
  <si>
    <t>Total</t>
  </si>
  <si>
    <t>Payment_Method</t>
  </si>
  <si>
    <t>EX-0001</t>
  </si>
  <si>
    <t>Landlord A.Ltd</t>
  </si>
  <si>
    <t>Bank_transfer</t>
  </si>
  <si>
    <t>EX-0002</t>
  </si>
  <si>
    <t>EX-0003</t>
  </si>
  <si>
    <t>IT_Software</t>
  </si>
  <si>
    <t>AutoDesk</t>
  </si>
  <si>
    <t>CAD annual licence</t>
  </si>
  <si>
    <t>EX-0004</t>
  </si>
  <si>
    <t>Delivery van fuel</t>
  </si>
  <si>
    <t>EX-0005</t>
  </si>
  <si>
    <t>Liberty Insurance</t>
  </si>
  <si>
    <t>Factory &amp; vehicle insurance Q1</t>
  </si>
  <si>
    <t>EX-0006</t>
  </si>
  <si>
    <t>Marketing</t>
  </si>
  <si>
    <t>Facebook Ads</t>
  </si>
  <si>
    <t>Campaign Feb</t>
  </si>
  <si>
    <t>EX-0007</t>
  </si>
  <si>
    <t>Small_Tools</t>
  </si>
  <si>
    <t>Makita Cyprus</t>
  </si>
  <si>
    <t>Replacement drill + bits</t>
  </si>
  <si>
    <t>EX-0008</t>
  </si>
  <si>
    <t>Office Store</t>
  </si>
  <si>
    <t>Printer ink + stationery</t>
  </si>
  <si>
    <t>EX-0009</t>
  </si>
  <si>
    <t>Legal_Accounting</t>
  </si>
  <si>
    <t>CPA Firm</t>
  </si>
  <si>
    <t>Quarterly bookkeeping</t>
  </si>
  <si>
    <t>EX-0010</t>
  </si>
  <si>
    <t>Waste_disposal</t>
  </si>
  <si>
    <t>Green Waste Ltd</t>
  </si>
  <si>
    <t>Wood waste skip</t>
  </si>
  <si>
    <t>EX-0011</t>
  </si>
  <si>
    <t>CYTA</t>
  </si>
  <si>
    <t>Phone + internet</t>
  </si>
  <si>
    <t>EX-0012</t>
  </si>
  <si>
    <t>Service Garage</t>
  </si>
  <si>
    <t>Van service + MOT</t>
  </si>
  <si>
    <t>EX-0013</t>
  </si>
  <si>
    <t>Bank_fees</t>
  </si>
  <si>
    <t>Quarterly fees</t>
  </si>
  <si>
    <t>EX-0014</t>
  </si>
  <si>
    <t>Training</t>
  </si>
  <si>
    <t>CNC Training Cy</t>
  </si>
  <si>
    <t>Staff CNC course</t>
  </si>
  <si>
    <t>INVOICES &amp; PAYMENT TRACKING — deposit / progress / final</t>
  </si>
  <si>
    <t>Invoice No</t>
  </si>
  <si>
    <t>Issue Date</t>
  </si>
  <si>
    <t>Due Date</t>
  </si>
  <si>
    <t>VAT (€)</t>
  </si>
  <si>
    <t>Paid Date</t>
  </si>
  <si>
    <t>Amount Paid (€)</t>
  </si>
  <si>
    <t>INV-2026-0001</t>
  </si>
  <si>
    <t>Deposit</t>
  </si>
  <si>
    <t>Paid</t>
  </si>
  <si>
    <t>INV-2026-0002</t>
  </si>
  <si>
    <t>Sent</t>
  </si>
  <si>
    <t>INV-2026-0003</t>
  </si>
  <si>
    <t>INV-2026-0004</t>
  </si>
  <si>
    <t>Final</t>
  </si>
  <si>
    <t>INV-2026-0005</t>
  </si>
  <si>
    <t>INV-2026-0006</t>
  </si>
  <si>
    <t>INV-2026-0007</t>
  </si>
  <si>
    <t>INV-2026-0008</t>
  </si>
  <si>
    <t>INV-2026-0009</t>
  </si>
  <si>
    <t>INV-2026-0010</t>
  </si>
  <si>
    <t>INV-2026-0011</t>
  </si>
  <si>
    <t>Draft</t>
  </si>
  <si>
    <t>INV-2026-0012</t>
  </si>
  <si>
    <t>INV-2026-0013</t>
  </si>
  <si>
    <t>INV-2026-0014</t>
  </si>
  <si>
    <t>INV-2026-0015</t>
  </si>
  <si>
    <t>PURCHASE ORDERS — track material orders by supplier &amp; project</t>
  </si>
  <si>
    <t>PO No</t>
  </si>
  <si>
    <t>Supplier</t>
  </si>
  <si>
    <t>Material / Hardware Code</t>
  </si>
  <si>
    <t>PO-2026-0001</t>
  </si>
  <si>
    <t>Kronospan</t>
  </si>
  <si>
    <t>PO-2026-0002</t>
  </si>
  <si>
    <t>Egger</t>
  </si>
  <si>
    <t>MDF-18</t>
  </si>
  <si>
    <t>Received</t>
  </si>
  <si>
    <t>PO-2026-0003</t>
  </si>
  <si>
    <t>Blum</t>
  </si>
  <si>
    <t>HNG-SOFT</t>
  </si>
  <si>
    <t>PO-2026-0004</t>
  </si>
  <si>
    <t>DR-TAN-500</t>
  </si>
  <si>
    <t>PO-2026-0005</t>
  </si>
  <si>
    <t>PO-2026-0006</t>
  </si>
  <si>
    <t>Hafele</t>
  </si>
  <si>
    <t>WD-ROD</t>
  </si>
  <si>
    <t>PO-2026-0007</t>
  </si>
  <si>
    <t>Sayerlack</t>
  </si>
  <si>
    <t>PNT-2K-WH</t>
  </si>
  <si>
    <t>PO-2026-0008</t>
  </si>
  <si>
    <t>TimberCo</t>
  </si>
  <si>
    <t>SW-IROKO</t>
  </si>
  <si>
    <t>PO-2026-0009</t>
  </si>
  <si>
    <t>PO-2026-0010</t>
  </si>
  <si>
    <t>HND-128</t>
  </si>
  <si>
    <t>Profit &amp; Loss — Monthly Statement (2026)</t>
  </si>
  <si>
    <t>Revenue from paid invoices; costs from expenses/payroll.</t>
  </si>
  <si>
    <t>Line 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</si>
  <si>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</si>
  <si>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</si>
  <si>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</si>
  <si>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</si>
  <si>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</si>
  <si>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</si>
  <si>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</si>
  <si>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</si>
  <si>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</si>
  <si>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</si>
  <si>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</si>
  <si>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</si>
  <si>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YTD Total</t>
  </si>
  <si>
    <t>REVENUE</t>
  </si>
  <si>
    <t xml:space="preserve">  Paid invoices</t>
  </si>
  <si>
    <t xml:space="preserve">  Total Revenue</t>
  </si>
  <si>
    <t>COST OF GOODS SOLD</t>
  </si>
  <si>
    <t xml:space="preserve">  Materials (POs received this month)</t>
  </si>
  <si>
    <t xml:space="preserve">  Direct labour (Time Tracking)</t>
  </si>
  <si>
    <t xml:space="preserve">  Subcontractors</t>
  </si>
  <si>
    <t xml:space="preserve">  Transport (Logistics)</t>
  </si>
  <si>
    <t xml:space="preserve">  Total COGS</t>
  </si>
  <si>
    <t xml:space="preserve">  GROSS PROFIT</t>
  </si>
  <si>
    <t xml:space="preserve">  Gross Margin %</t>
  </si>
  <si>
    <t>OPERATING EXPENSES</t>
  </si>
  <si>
    <t xml:space="preserve">  Rent</t>
  </si>
  <si>
    <t xml:space="preserve">  Utilities</t>
  </si>
  <si>
    <t xml:space="preserve">  Fuel &amp; Vehicle</t>
  </si>
  <si>
    <t xml:space="preserve">  Insurance</t>
  </si>
  <si>
    <t xml:space="preserve">  Marketing</t>
  </si>
  <si>
    <t xml:space="preserve">  Office &amp; IT</t>
  </si>
  <si>
    <t xml:space="preserve">  Legal &amp; Accounting</t>
  </si>
  <si>
    <t xml:space="preserve">  Bank fees</t>
  </si>
  <si>
    <t xml:space="preserve">  Other operating</t>
  </si>
  <si>
    <t xml:space="preserve">  Total OpEx</t>
  </si>
  <si>
    <t xml:space="preserve">  OPERATING PROFIT (EBITDA)</t>
  </si>
  <si>
    <t xml:space="preserve">  Operating Margin %</t>
  </si>
  <si>
    <t xml:space="preserve">  Depreciation (Equipment)</t>
  </si>
  <si>
    <t xml:space="preserve">  NET PROFIT</t>
  </si>
  <si>
    <t xml:space="preserve">  Net Margin %</t>
  </si>
  <si>
    <t>VAT Return — Cyprus Quarterly (19%)</t>
  </si>
  <si>
    <t>Output VAT (sales) minus Input VAT (purchases) = amount due.</t>
  </si>
  <si>
    <t>Quarter</t>
  </si>
  <si>
    <t>Period</t>
  </si>
  <si>
    <t>Output_VAT_Sales</t>
  </si>
  <si>
    <t>Input_VAT_Purchases</t>
  </si>
  <si>
    <t>Input_VAT_Expenses</t>
  </si>
  <si>
    <t>Total_Input_VAT</t>
  </si>
  <si>
    <t>Net_VAT_Due</t>
  </si>
  <si>
    <t>Filed_Date</t>
  </si>
  <si>
    <t>Q1 2026</t>
  </si>
  <si>
    <t>01-Jan to 31-Mar-2026</t>
  </si>
  <si>
    <t>Q2 2026</t>
  </si>
  <si>
    <t>01-Apr to 30-Jun-2026</t>
  </si>
  <si>
    <t>Q3 2026</t>
  </si>
  <si>
    <t>01-Jul to 30-Sep-2026</t>
  </si>
  <si>
    <t>Q4 2026</t>
  </si>
  <si>
    <t>01-Oct to 31-Dec-2026</t>
  </si>
  <si>
    <t>Q1 2027</t>
  </si>
  <si>
    <t>01-Jan to 31-Mar-2027</t>
  </si>
  <si>
    <t>Q2 2027</t>
  </si>
  <si>
    <t>01-Apr to 30-Jun-2027</t>
  </si>
  <si>
    <t>Q3 2027</t>
  </si>
  <si>
    <t>01-Jul to 30-Sep-2027</t>
  </si>
  <si>
    <t>Q4 2027</t>
  </si>
  <si>
    <t>01-Oct to 31-Dec-2027</t>
  </si>
  <si>
    <t>Cyprus VAT notes:</t>
  </si>
  <si>
    <t>• Returns filed within 40 days of quarter end</t>
  </si>
  <si>
    <t>• Standard rate 19%; reduced rates 5% and 9%</t>
  </si>
  <si>
    <t>• File online via TAXISnet; pay via JCC Smart</t>
  </si>
  <si>
    <t>Variance Analysis — Quoted vs Actual</t>
  </si>
  <si>
    <t>Tracks budget vs real cost for completed jobs. Updates automatically.</t>
  </si>
  <si>
    <t>Project_Name</t>
  </si>
  <si>
    <t>Quoted_Value</t>
  </si>
  <si>
    <t>Budgeted_Cost</t>
  </si>
  <si>
    <t>Actual_Materials</t>
  </si>
  <si>
    <t>Actual_Labor</t>
  </si>
  <si>
    <t>Actual_Transport</t>
  </si>
  <si>
    <t>Actual_Total</t>
  </si>
  <si>
    <t>Variance_€</t>
  </si>
  <si>
    <t>Variance_%</t>
  </si>
  <si>
    <t>SUMMARY</t>
  </si>
  <si>
    <t>Total Quoted:</t>
  </si>
  <si>
    <t>Total Actual:</t>
  </si>
  <si>
    <t>Total Variance:</t>
  </si>
  <si>
    <t>Projects Over Budget:</t>
  </si>
  <si>
    <t>BUSINESS REPORTS — aggregations across projects, categories, departments</t>
  </si>
  <si>
    <t>1. PROFIT BY CATEGORY</t>
  </si>
  <si>
    <t># Projects</t>
  </si>
  <si>
    <t>Quoted (€)</t>
  </si>
  <si>
    <t>Cost (€)</t>
  </si>
  <si>
    <t>2. LABOR HOURS &amp; PAYROLL BY DEPARTMENT</t>
  </si>
  <si>
    <t>Hours Logged</t>
  </si>
  <si>
    <t>Payroll Cost (€)</t>
  </si>
  <si>
    <t>3. DELAYED PROJECTS</t>
  </si>
  <si>
    <t>Delayed (status = Delayed OR deadline past &amp; not completed)</t>
  </si>
  <si>
    <t>4. UPCOMING DELIVERIES / INSTALLATIONS (next 14 days)</t>
  </si>
  <si>
    <t>Upcoming Deliveries</t>
  </si>
  <si>
    <t>Upcoming Installations</t>
  </si>
  <si>
    <t>5. MONTHLY SUMMARY (based on Start Date)</t>
  </si>
  <si>
    <t>Sales Value (projects starting this month)</t>
  </si>
  <si>
    <t>Estimated Cost</t>
  </si>
  <si>
    <t>Gross Profit</t>
  </si>
  <si>
    <t>Warranty &amp; Aftercare Tracker</t>
  </si>
  <si>
    <t>Auto-calculates expiry and alert status.</t>
  </si>
  <si>
    <t>Active:</t>
  </si>
  <si>
    <t>Expiring:</t>
  </si>
  <si>
    <t>Install_Date</t>
  </si>
  <si>
    <t>Warranty_Months</t>
  </si>
  <si>
    <t>Expiry_Date</t>
  </si>
  <si>
    <t>Days_To_Expiry</t>
  </si>
  <si>
    <t>Last_Check_Date</t>
  </si>
  <si>
    <t>Check_Result</t>
  </si>
  <si>
    <t>Follow_Up_Needed</t>
  </si>
  <si>
    <t>P-2025-045</t>
  </si>
  <si>
    <t>Andreas Georgiou</t>
  </si>
  <si>
    <t>99-123456</t>
  </si>
  <si>
    <t>P-2025-048</t>
  </si>
  <si>
    <t>Maria Savva</t>
  </si>
  <si>
    <t>99-234567</t>
  </si>
  <si>
    <t>P-2025-052</t>
  </si>
  <si>
    <t>Panos Ioannou</t>
  </si>
  <si>
    <t>99-345678</t>
  </si>
  <si>
    <t>P-2025-055</t>
  </si>
  <si>
    <t>Eleni Christou</t>
  </si>
  <si>
    <t>99-456789</t>
  </si>
  <si>
    <t>P-2025-060</t>
  </si>
  <si>
    <t>Kostas Papas</t>
  </si>
  <si>
    <t>99-567890</t>
  </si>
  <si>
    <t>P-2025-063</t>
  </si>
  <si>
    <t>Lucia Markou</t>
  </si>
  <si>
    <t>99-678901</t>
  </si>
  <si>
    <t>P-2025-066</t>
  </si>
  <si>
    <t>Demetris Nicolaou</t>
  </si>
  <si>
    <t>99-789012</t>
  </si>
  <si>
    <t>P-2025-070</t>
  </si>
  <si>
    <t>Anna Zeniou</t>
  </si>
  <si>
    <t>99-890123</t>
  </si>
  <si>
    <t>P-2025-074</t>
  </si>
  <si>
    <t>Yiannis Hadjichristou</t>
  </si>
  <si>
    <t>99-901234</t>
  </si>
  <si>
    <t>P-2025-078</t>
  </si>
  <si>
    <t>Sofia Kyriacou</t>
  </si>
  <si>
    <t>99-012345</t>
  </si>
  <si>
    <t>SNAGS / ISSUE TRACKING — post-install issues and defects</t>
  </si>
  <si>
    <t>Snag ID</t>
  </si>
  <si>
    <t>Reported</t>
  </si>
  <si>
    <t>Severity</t>
  </si>
  <si>
    <t>Assigned To</t>
  </si>
  <si>
    <t>Resolution</t>
  </si>
  <si>
    <t>SN-001</t>
  </si>
  <si>
    <t>Panel scratched during delivery — needs replacement</t>
  </si>
  <si>
    <t>SN-002</t>
  </si>
  <si>
    <t>Ceiling panel lighting flickering — electrical issue</t>
  </si>
  <si>
    <t>In Progress</t>
  </si>
  <si>
    <t>SN-003</t>
  </si>
  <si>
    <t>Drawer soft-close not working on left drawer</t>
  </si>
  <si>
    <t>Resolved</t>
  </si>
  <si>
    <t>Replaced damper</t>
  </si>
  <si>
    <t>SN-004</t>
  </si>
  <si>
    <t>Customer wants handle style changed (request)</t>
  </si>
  <si>
    <t>Awaiting customer</t>
  </si>
  <si>
    <t>Options sent</t>
  </si>
  <si>
    <t>Equipment &amp; Fixed Assets</t>
  </si>
  <si>
    <t>Tracks depreciation and maintenance schedule.</t>
  </si>
  <si>
    <t>Asset_ID</t>
  </si>
  <si>
    <t>Asset_Name</t>
  </si>
  <si>
    <t>Purchase_Date</t>
  </si>
  <si>
    <t>Purchase_Cost</t>
  </si>
  <si>
    <t>Life_Yrs</t>
  </si>
  <si>
    <t>Annual_Dep</t>
  </si>
  <si>
    <t>Current_Value</t>
  </si>
  <si>
    <t>Last_Service</t>
  </si>
  <si>
    <t>Service_Interval_D</t>
  </si>
  <si>
    <t>Next_Service</t>
  </si>
  <si>
    <t>Condition</t>
  </si>
  <si>
    <t>EQ-001</t>
  </si>
  <si>
    <t>CNC Router 3-axis</t>
  </si>
  <si>
    <t>Excellent</t>
  </si>
  <si>
    <t>EQ-002</t>
  </si>
  <si>
    <t>Edge Bander</t>
  </si>
  <si>
    <t>Machining</t>
  </si>
  <si>
    <t>Good</t>
  </si>
  <si>
    <t>EQ-003</t>
  </si>
  <si>
    <t>Panel Saw</t>
  </si>
  <si>
    <t>EQ-004</t>
  </si>
  <si>
    <t>Dust Extraction System</t>
  </si>
  <si>
    <t>Workshop</t>
  </si>
  <si>
    <t>EQ-005</t>
  </si>
  <si>
    <t>Spray Booth</t>
  </si>
  <si>
    <t>Finishing</t>
  </si>
  <si>
    <t>EQ-006</t>
  </si>
  <si>
    <t>Delivery Van (Mercedes)</t>
  </si>
  <si>
    <t>EQ-007</t>
  </si>
  <si>
    <t>Delivery Van (Ford Transit)</t>
  </si>
  <si>
    <t>EQ-008</t>
  </si>
  <si>
    <t>Forklift 2.5T</t>
  </si>
  <si>
    <t>EQ-009</t>
  </si>
  <si>
    <t>Compressor</t>
  </si>
  <si>
    <t>Fair</t>
  </si>
  <si>
    <t>EQ-010</t>
  </si>
  <si>
    <t>Hand-tool set (multiple)</t>
  </si>
  <si>
    <t>Hand tools</t>
  </si>
  <si>
    <t>Consumables Inventory</t>
  </si>
  <si>
    <t>Stock Value:</t>
  </si>
  <si>
    <t>Need reorder:</t>
  </si>
  <si>
    <t>Item_Code</t>
  </si>
  <si>
    <t>Item_Name</t>
  </si>
  <si>
    <t>UoM</t>
  </si>
  <si>
    <t>Current_Stock</t>
  </si>
  <si>
    <t>Reorder_Point</t>
  </si>
  <si>
    <t>Unit_Cost</t>
  </si>
  <si>
    <t>Stock_Value</t>
  </si>
  <si>
    <t>Last_Ordered</t>
  </si>
  <si>
    <t>Supplier_ID</t>
  </si>
  <si>
    <t>Sandpaper 120-grit sheet</t>
  </si>
  <si>
    <t>Abrasives</t>
  </si>
  <si>
    <t>pc</t>
  </si>
  <si>
    <t>S-006</t>
  </si>
  <si>
    <t>Sandpaper 240-grit sheet</t>
  </si>
  <si>
    <t>CNC spiral bit 6mm</t>
  </si>
  <si>
    <t>CNC_bits</t>
  </si>
  <si>
    <t>S-008</t>
  </si>
  <si>
    <t>CNC spiral bit 8mm</t>
  </si>
  <si>
    <t>Drill bit 3mm HSS</t>
  </si>
  <si>
    <t>Drill_bits</t>
  </si>
  <si>
    <t>Confirmat screw 7x50</t>
  </si>
  <si>
    <t>Screws</t>
  </si>
  <si>
    <t>box</t>
  </si>
  <si>
    <t>Euro screw 4.5x16</t>
  </si>
  <si>
    <t>PVA wood glue 5L</t>
  </si>
  <si>
    <t>Glue</t>
  </si>
  <si>
    <t>S-009</t>
  </si>
  <si>
    <t>Edge banding white 22mm</t>
  </si>
  <si>
    <t>Edge_tape</t>
  </si>
  <si>
    <t>S-001</t>
  </si>
  <si>
    <t>Edge banding oak 22mm</t>
  </si>
  <si>
    <t>Silicone sealant clear</t>
  </si>
  <si>
    <t>Sealant</t>
  </si>
  <si>
    <t>Primer undercoat 5L</t>
  </si>
  <si>
    <t>Primer</t>
  </si>
  <si>
    <t>C-013</t>
  </si>
  <si>
    <t>Topcoat lacquer matt 5L</t>
  </si>
  <si>
    <t>C-014</t>
  </si>
  <si>
    <t>Safety glasses</t>
  </si>
  <si>
    <t>Safety_PPE</t>
  </si>
  <si>
    <t>S-010</t>
  </si>
  <si>
    <t>C-015</t>
  </si>
  <si>
    <t>Dust mask FFP2</t>
  </si>
  <si>
    <t>C-016</t>
  </si>
  <si>
    <t>Work gloves large</t>
  </si>
  <si>
    <t>C-017</t>
  </si>
  <si>
    <t>Circular saw blade 250mm</t>
  </si>
  <si>
    <t>Saw_blades</t>
  </si>
  <si>
    <t>C-018</t>
  </si>
  <si>
    <t>Steel wool grade 0000</t>
  </si>
  <si>
    <t>Renewals — Insurance, Licences, Contracts</t>
  </si>
  <si>
    <t>Auto-flags anything expiring within 60 days.</t>
  </si>
  <si>
    <t>Renewal_ID</t>
  </si>
  <si>
    <t>Provider</t>
  </si>
  <si>
    <t>Start_Date</t>
  </si>
  <si>
    <t>Annual_Cost</t>
  </si>
  <si>
    <t>RN-001</t>
  </si>
  <si>
    <t>Factory buildings insurance</t>
  </si>
  <si>
    <t>RN-002</t>
  </si>
  <si>
    <t>Vehicle insurance — Van 1</t>
  </si>
  <si>
    <t>RN-003</t>
  </si>
  <si>
    <t>Vehicle insurance — Van 2</t>
  </si>
  <si>
    <t>RN-004</t>
  </si>
  <si>
    <t>Employer liability insurance</t>
  </si>
  <si>
    <t>Pancyprian</t>
  </si>
  <si>
    <t>RN-005</t>
  </si>
  <si>
    <t>Road tax — Van 1</t>
  </si>
  <si>
    <t>Vehicle_registration</t>
  </si>
  <si>
    <t>DoRT</t>
  </si>
  <si>
    <t>RN-006</t>
  </si>
  <si>
    <t>Road tax — Van 2</t>
  </si>
  <si>
    <t>RN-007</t>
  </si>
  <si>
    <t>Business operation licence</t>
  </si>
  <si>
    <t>Business_licence</t>
  </si>
  <si>
    <t>Municipality</t>
  </si>
  <si>
    <t>RN-008</t>
  </si>
  <si>
    <t>AutoCAD annual</t>
  </si>
  <si>
    <t>Software_licence</t>
  </si>
  <si>
    <t>Autodesk</t>
  </si>
  <si>
    <t>RN-009</t>
  </si>
  <si>
    <t>SketchUp Pro</t>
  </si>
  <si>
    <t>Trimble</t>
  </si>
  <si>
    <t>RN-010</t>
  </si>
  <si>
    <t>Office 365</t>
  </si>
  <si>
    <t>Microsoft</t>
  </si>
  <si>
    <t>RN-011</t>
  </si>
  <si>
    <t>Factory lease</t>
  </si>
  <si>
    <t>Lease</t>
  </si>
  <si>
    <t>RN-012</t>
  </si>
  <si>
    <t>Dust extraction warranty</t>
  </si>
  <si>
    <t>Supplier Ltd</t>
  </si>
  <si>
    <t>RN-013</t>
  </si>
  <si>
    <t>Domain + website hosting</t>
  </si>
  <si>
    <t>Domain_hosting</t>
  </si>
  <si>
    <t>CyDomains</t>
  </si>
  <si>
    <t>RN-014</t>
  </si>
  <si>
    <t>Accounting software (TaxCY)</t>
  </si>
  <si>
    <t>TaxCY</t>
  </si>
  <si>
    <t>RN-015</t>
  </si>
  <si>
    <t>Fire safety certificate</t>
  </si>
  <si>
    <t>Fire Dept</t>
  </si>
  <si>
    <t>TOTAL ANNUAL COST</t>
  </si>
  <si>
    <t>MATERIALS PRICE LIST — edit blue cells. Feeds Cost Calculator &amp; Cabinet Calc.</t>
  </si>
  <si>
    <t>Material Code</t>
  </si>
  <si>
    <t>Cost per Unit (€)</t>
  </si>
  <si>
    <t>Stock Qty</t>
  </si>
  <si>
    <t>Last Update</t>
  </si>
  <si>
    <t>Melamine</t>
  </si>
  <si>
    <t>2026-03-01</t>
  </si>
  <si>
    <t>MEL-18-BK</t>
  </si>
  <si>
    <t>Melamine 18mm Black</t>
  </si>
  <si>
    <t>Melamine 18mm Oak</t>
  </si>
  <si>
    <t>MEL-25-WH</t>
  </si>
  <si>
    <t>for worktops</t>
  </si>
  <si>
    <t>MDF 16mm Standard</t>
  </si>
  <si>
    <t>MDF</t>
  </si>
  <si>
    <t>MDF-25</t>
  </si>
  <si>
    <t>MDF 25mm Standard</t>
  </si>
  <si>
    <t>MDF-HMR-18</t>
  </si>
  <si>
    <t>MDF 18mm Moisture Resistant</t>
  </si>
  <si>
    <t>PLY-12-BIR</t>
  </si>
  <si>
    <t>Plywood 12mm Birch</t>
  </si>
  <si>
    <t>Plywood</t>
  </si>
  <si>
    <t>Riga</t>
  </si>
  <si>
    <t>PLY-18-BIR</t>
  </si>
  <si>
    <t>PLY-18-MAR</t>
  </si>
  <si>
    <t>Plywood 18mm Marine</t>
  </si>
  <si>
    <t>for wet areas</t>
  </si>
  <si>
    <t>VEN-OAK</t>
  </si>
  <si>
    <t>Oak Veneer</t>
  </si>
  <si>
    <t>Veneer</t>
  </si>
  <si>
    <t>Fritz Kohl</t>
  </si>
  <si>
    <t>VEN-WAL</t>
  </si>
  <si>
    <t>Walnut Veneer</t>
  </si>
  <si>
    <t>SW-OAK</t>
  </si>
  <si>
    <t>Solid wood</t>
  </si>
  <si>
    <t>SW-BEE</t>
  </si>
  <si>
    <t>Solid Beech Timber</t>
  </si>
  <si>
    <t>Solid Iroko Timber</t>
  </si>
  <si>
    <t>for exterior doors</t>
  </si>
  <si>
    <t>PNT-2K-CL</t>
  </si>
  <si>
    <t>2K PU Lacquer Clear</t>
  </si>
  <si>
    <t>STAIN-OAK</t>
  </si>
  <si>
    <t>Wood Stain Oak</t>
  </si>
  <si>
    <t>EB-22-WH</t>
  </si>
  <si>
    <t>Edge Banding 22mm White ABS</t>
  </si>
  <si>
    <t>Rehau</t>
  </si>
  <si>
    <t>EB-22-OAK</t>
  </si>
  <si>
    <t>Edge Banding 22mm Oak ABS</t>
  </si>
  <si>
    <t>EB-42-WH</t>
  </si>
  <si>
    <t>Edge Banding 42mm White ABS</t>
  </si>
  <si>
    <t>GL-4-CLEAR</t>
  </si>
  <si>
    <t>Glass 4mm Clear</t>
  </si>
  <si>
    <t>Pilkington</t>
  </si>
  <si>
    <t>GL-6-SMOKE</t>
  </si>
  <si>
    <t>Glass 6mm Smoke</t>
  </si>
  <si>
    <t>MET-ALU-PR</t>
  </si>
  <si>
    <t>Aluminium Profile</t>
  </si>
  <si>
    <t>Metal</t>
  </si>
  <si>
    <t>Reynaers</t>
  </si>
  <si>
    <t>PKG-BUBBLE</t>
  </si>
  <si>
    <t>Bubble Wrap</t>
  </si>
  <si>
    <t>Packaging</t>
  </si>
  <si>
    <t>PackPro</t>
  </si>
  <si>
    <t>PKG-CORNER</t>
  </si>
  <si>
    <t>Foam Corners</t>
  </si>
  <si>
    <t>CON-GLUE</t>
  </si>
  <si>
    <t>PVA Wood Glue</t>
  </si>
  <si>
    <t>Titebond</t>
  </si>
  <si>
    <t>CON-SCR</t>
  </si>
  <si>
    <t>Euroscrews 4x40</t>
  </si>
  <si>
    <t>Wurth</t>
  </si>
  <si>
    <t>box-1000</t>
  </si>
  <si>
    <t>CON-SAND</t>
  </si>
  <si>
    <t>Sandpaper Assorted</t>
  </si>
  <si>
    <t>Mirka</t>
  </si>
  <si>
    <t>HARDWARE PRICE LIST — hinges, drawer systems, handles, LED, accessories</t>
  </si>
  <si>
    <t>HNG-CLIP</t>
  </si>
  <si>
    <t>Blum Clip-Top Hinge 110°</t>
  </si>
  <si>
    <t>Hinges</t>
  </si>
  <si>
    <t>Blum Soft-Close Hinge 110°</t>
  </si>
  <si>
    <t>HNG-45</t>
  </si>
  <si>
    <t>Corner Hinge 45°</t>
  </si>
  <si>
    <t>DR-TAN-350</t>
  </si>
  <si>
    <t>Blum Tandembox 350mm</t>
  </si>
  <si>
    <t>Drawer systems</t>
  </si>
  <si>
    <t>Blum Tandembox 500mm</t>
  </si>
  <si>
    <t>DR-LEG-500</t>
  </si>
  <si>
    <t>Legrabox 500mm</t>
  </si>
  <si>
    <t>premium</t>
  </si>
  <si>
    <t>LIFT-AVE</t>
  </si>
  <si>
    <t>Blum Aventos HK Lift</t>
  </si>
  <si>
    <t>Lift systems</t>
  </si>
  <si>
    <t>LIFT-HF</t>
  </si>
  <si>
    <t>Blum Aventos HF Bi-fold</t>
  </si>
  <si>
    <t>Handles</t>
  </si>
  <si>
    <t>HND-256</t>
  </si>
  <si>
    <t>Handle 256mm SS</t>
  </si>
  <si>
    <t>HND-PROF</t>
  </si>
  <si>
    <t>Profile Handle per meter</t>
  </si>
  <si>
    <t>FAS-CAM</t>
  </si>
  <si>
    <t>Cam Lock</t>
  </si>
  <si>
    <t>Fasteners</t>
  </si>
  <si>
    <t>FAS-DOW</t>
  </si>
  <si>
    <t>Wooden Dowel 8x35</t>
  </si>
  <si>
    <t>FAS-CON</t>
  </si>
  <si>
    <t>Confirmat Screw</t>
  </si>
  <si>
    <t>Wardrobe Rod Chrome</t>
  </si>
  <si>
    <t>Wardrobe accessories</t>
  </si>
  <si>
    <t>WD-PULL</t>
  </si>
  <si>
    <t>Pull-out Basket</t>
  </si>
  <si>
    <t>WD-SHOE</t>
  </si>
  <si>
    <t>Shoe Rack Tilt</t>
  </si>
  <si>
    <t>LED-12V</t>
  </si>
  <si>
    <t>LED Strip 12V 5m</t>
  </si>
  <si>
    <t>LED accessories</t>
  </si>
  <si>
    <t>LED-DRV</t>
  </si>
  <si>
    <t>LED Driver 60W</t>
  </si>
  <si>
    <t>LED-PROF</t>
  </si>
  <si>
    <t>Aluminium LED Profile</t>
  </si>
  <si>
    <t>SPC-CORN</t>
  </si>
  <si>
    <t>Magic Corner</t>
  </si>
  <si>
    <t>Special fittings</t>
  </si>
  <si>
    <t>kitchen corner</t>
  </si>
  <si>
    <t>SPC-WBIN</t>
  </si>
  <si>
    <t>Waste Bin Pull-out 60L</t>
  </si>
  <si>
    <t>SPC-SOFT</t>
  </si>
  <si>
    <t>Soft-close Damper</t>
  </si>
  <si>
    <t>PRODUCT PRICING LOGIC — per-category pricing factors</t>
  </si>
  <si>
    <t>Base Price (€/m² or €/pc)</t>
  </si>
  <si>
    <t>Material Factor</t>
  </si>
  <si>
    <t>Labor Factor</t>
  </si>
  <si>
    <t>Complexity Factor</t>
  </si>
  <si>
    <t>Target Markup %</t>
  </si>
  <si>
    <t>Max Discount %</t>
  </si>
  <si>
    <t>€/pc</t>
  </si>
  <si>
    <t>€/m</t>
  </si>
  <si>
    <t>€/m²</t>
  </si>
  <si>
    <t>Price History — Material &amp; Hardware Price Changes</t>
  </si>
  <si>
    <t>Log each price change. Chart shows trend.</t>
  </si>
  <si>
    <t>Total Changes:</t>
  </si>
  <si>
    <t>Date_Changed</t>
  </si>
  <si>
    <t>Code</t>
  </si>
  <si>
    <t>Old_Price</t>
  </si>
  <si>
    <t>New_Price</t>
  </si>
  <si>
    <t>Change_%</t>
  </si>
  <si>
    <t>Reason</t>
  </si>
  <si>
    <t>White melamine 18mm 2800x2070</t>
  </si>
  <si>
    <t>Material</t>
  </si>
  <si>
    <t>Supplier_increase</t>
  </si>
  <si>
    <t>Q3 2025 price list update</t>
  </si>
  <si>
    <t>MDF raw 18mm 2800x2070</t>
  </si>
  <si>
    <t>Resin cost pass-through</t>
  </si>
  <si>
    <t>HNG-BLUM-110</t>
  </si>
  <si>
    <t>Blum 110° hinge + plate</t>
  </si>
  <si>
    <t>Hardware</t>
  </si>
  <si>
    <t>Currency_FX</t>
  </si>
  <si>
    <t>EUR/CHF unfavorable</t>
  </si>
  <si>
    <t>HAND-SS-128</t>
  </si>
  <si>
    <t>SS handle 128mm</t>
  </si>
  <si>
    <t>Bulk_discount</t>
  </si>
  <si>
    <t>Volume agreement</t>
  </si>
  <si>
    <t>Oak melamine 18mm</t>
  </si>
  <si>
    <t>Raw oak shortage</t>
  </si>
  <si>
    <t>PLY-BB-18</t>
  </si>
  <si>
    <t>Birch plywood 18mm</t>
  </si>
  <si>
    <t>Baltic import</t>
  </si>
  <si>
    <t>SCREW-CONF</t>
  </si>
  <si>
    <t>Seasonal</t>
  </si>
  <si>
    <t>Steel index up</t>
  </si>
  <si>
    <t>New_supplier</t>
  </si>
  <si>
    <t>Switched to S-008</t>
  </si>
  <si>
    <t>GLOBAL SETTINGS &amp; VARIABLES — edit yellow cells to change the whole system</t>
  </si>
  <si>
    <t>Variable</t>
  </si>
  <si>
    <t>Value</t>
  </si>
  <si>
    <t>Categories</t>
  </si>
  <si>
    <t>Statuses</t>
  </si>
  <si>
    <t>Priorities</t>
  </si>
  <si>
    <t>Departments</t>
  </si>
  <si>
    <t>Stages</t>
  </si>
  <si>
    <t>YesNo</t>
  </si>
  <si>
    <t>FINANCIAL &amp; PRICING</t>
  </si>
  <si>
    <t>%</t>
  </si>
  <si>
    <t>Sales VAT (Cyprus standard 19%)</t>
  </si>
  <si>
    <t>No</t>
  </si>
  <si>
    <t>Waste_Pct</t>
  </si>
  <si>
    <t>Material waste allowance</t>
  </si>
  <si>
    <t>Overhead_Pct</t>
  </si>
  <si>
    <t>Overhead absorption on direct cost</t>
  </si>
  <si>
    <t>Ready for Delivery</t>
  </si>
  <si>
    <t>Markup_Pct</t>
  </si>
  <si>
    <t>Default markup on total cost</t>
  </si>
  <si>
    <t>Target_Margin_Pct</t>
  </si>
  <si>
    <t>Target gross margin</t>
  </si>
  <si>
    <t>Max_Discount_Pct</t>
  </si>
  <si>
    <t>Max discount a salesperson can give</t>
  </si>
  <si>
    <t>Installed</t>
  </si>
  <si>
    <t>Deposit_Pct</t>
  </si>
  <si>
    <t>Deposit required from customer on order</t>
  </si>
  <si>
    <t>Balance_Due_Days</t>
  </si>
  <si>
    <t>days</t>
  </si>
  <si>
    <t>Days after installation for final payment</t>
  </si>
  <si>
    <t>LABOR RATES (€/hour)</t>
  </si>
  <si>
    <t>Cancelled</t>
  </si>
  <si>
    <t>Rate_Design</t>
  </si>
  <si>
    <t>Design / drafting</t>
  </si>
  <si>
    <t>Rate_Measuring</t>
  </si>
  <si>
    <t>Rate_CNC</t>
  </si>
  <si>
    <t>CNC operator</t>
  </si>
  <si>
    <t>Rate_Cutting</t>
  </si>
  <si>
    <t>Panel saw / cutting</t>
  </si>
  <si>
    <t>Rate_EdgeBand</t>
  </si>
  <si>
    <t>Final handover</t>
  </si>
  <si>
    <t>Rate_Assembly</t>
  </si>
  <si>
    <t>Rate_Sanding</t>
  </si>
  <si>
    <t>Rate_Paint</t>
  </si>
  <si>
    <t>Rate_Loading</t>
  </si>
  <si>
    <t>Rate_Install</t>
  </si>
  <si>
    <t>Installation on site</t>
  </si>
  <si>
    <t>Rate_Supervisor</t>
  </si>
  <si>
    <t>Supervisor / management</t>
  </si>
  <si>
    <t>Rate_Overtime_Mult</t>
  </si>
  <si>
    <t>Overtime multiplier</t>
  </si>
  <si>
    <t>LOGISTICS &amp; SITE FACTORS</t>
  </si>
  <si>
    <t>Fuel_Cost_Per_Km</t>
  </si>
  <si>
    <t>€/km</t>
  </si>
  <si>
    <t>Fuel + running cost per km</t>
  </si>
  <si>
    <t>Delivery_Base_Fee</t>
  </si>
  <si>
    <t>Fixed fee per delivery</t>
  </si>
  <si>
    <t>Install_Base_Fee</t>
  </si>
  <si>
    <t>Fixed fee per installation visit</t>
  </si>
  <si>
    <t>Site_Work_Factor</t>
  </si>
  <si>
    <t>Multiplier for on-site labour vs shop</t>
  </si>
  <si>
    <t>CATEGORY PRICING FACTORS</t>
  </si>
  <si>
    <t>Factor_Doors</t>
  </si>
  <si>
    <t>Complexity factor for Doors</t>
  </si>
  <si>
    <t>Factor_Kitchens</t>
  </si>
  <si>
    <t>Factor_Wardrobes</t>
  </si>
  <si>
    <t>Factor_WallPanels</t>
  </si>
  <si>
    <t>Factor_CeilingPanels</t>
  </si>
  <si>
    <t>Factor_Furniture</t>
  </si>
  <si>
    <t>Custom furniture</t>
  </si>
  <si>
    <t>Factor_Cabinets</t>
  </si>
  <si>
    <t>DEPARTMENT LABOR MULTIPLIERS (productivity)</t>
  </si>
  <si>
    <t>Mult_Design</t>
  </si>
  <si>
    <t>Mult_CNC</t>
  </si>
  <si>
    <t>Mult_Cutting</t>
  </si>
  <si>
    <t>Mult_EdgeBand</t>
  </si>
  <si>
    <t>Mult_Assembly</t>
  </si>
  <si>
    <t>Mult_Sanding</t>
  </si>
  <si>
    <t>Mult_Paint</t>
  </si>
  <si>
    <t>Paint dept slightly slower currently</t>
  </si>
  <si>
    <t>Mult_Install</t>
  </si>
  <si>
    <t>COMPANY INFO (appears on quotations)</t>
  </si>
  <si>
    <t>Co_Name</t>
  </si>
  <si>
    <t>Your Joinery Ltd</t>
  </si>
  <si>
    <t>Company name</t>
  </si>
  <si>
    <t>Co_Address</t>
  </si>
  <si>
    <t>Industrial Zone, Cyprus</t>
  </si>
  <si>
    <t>Full address</t>
  </si>
  <si>
    <t>Co_Phone</t>
  </si>
  <si>
    <t>+357 00 000000</t>
  </si>
  <si>
    <t>Co_Email</t>
  </si>
  <si>
    <t>info@yourjoinery.com</t>
  </si>
  <si>
    <t>Co_VAT_No</t>
  </si>
  <si>
    <t>CY00000000X</t>
  </si>
  <si>
    <t>VAT registration number</t>
  </si>
  <si>
    <t>Co_Currency</t>
  </si>
  <si>
    <t>Currency code</t>
  </si>
  <si>
    <t>SUPPLIERS — vendor master. Materials &amp; Hardware tabs reference these.</t>
  </si>
  <si>
    <t>Supplier ID</t>
  </si>
  <si>
    <t>Payment Terms</t>
  </si>
  <si>
    <t>Lead Time (days)</t>
  </si>
  <si>
    <t>Rating</t>
  </si>
  <si>
    <t>Sales rep</t>
  </si>
  <si>
    <t>+357 22 111111</t>
  </si>
  <si>
    <t>sales@kronospan.com</t>
  </si>
  <si>
    <t>30 days</t>
  </si>
  <si>
    <t>Main melamine/board supplier</t>
  </si>
  <si>
    <t>S-002</t>
  </si>
  <si>
    <t>+357 22 222222</t>
  </si>
  <si>
    <t>sales@egger.com</t>
  </si>
  <si>
    <t>45 days</t>
  </si>
  <si>
    <t>MDF, HDF, veneered boards</t>
  </si>
  <si>
    <t>S-003</t>
  </si>
  <si>
    <t>Riga Plywood</t>
  </si>
  <si>
    <t>Sales</t>
  </si>
  <si>
    <t>+371 67 000000</t>
  </si>
  <si>
    <t>sales@riga-ply.lv</t>
  </si>
  <si>
    <t>60 days</t>
  </si>
  <si>
    <t>Plywood imports</t>
  </si>
  <si>
    <t>S-004</t>
  </si>
  <si>
    <t>+49 6022 000000</t>
  </si>
  <si>
    <t>info@fritzkohl.com</t>
  </si>
  <si>
    <t>Veneer specialist</t>
  </si>
  <si>
    <t>S-005</t>
  </si>
  <si>
    <t>Mr Timber</t>
  </si>
  <si>
    <t>+357 24 333333</t>
  </si>
  <si>
    <t>info@timberco.cy</t>
  </si>
  <si>
    <t>Solid timber</t>
  </si>
  <si>
    <t>Local rep</t>
  </si>
  <si>
    <t>+357 22 444444</t>
  </si>
  <si>
    <t>paint@sayerlack.cy</t>
  </si>
  <si>
    <t>2K PU paints</t>
  </si>
  <si>
    <t>S-007</t>
  </si>
  <si>
    <t>+357 22 555555</t>
  </si>
  <si>
    <t>edge@rehau.com</t>
  </si>
  <si>
    <t>+357 25 666666</t>
  </si>
  <si>
    <t>glass@pilk.cy</t>
  </si>
  <si>
    <t>+357 22 777777</t>
  </si>
  <si>
    <t>alu@reynaers.cy</t>
  </si>
  <si>
    <t>Aluminium profiles</t>
  </si>
  <si>
    <t>+357 22 888888</t>
  </si>
  <si>
    <t>cy@blum.com</t>
  </si>
  <si>
    <t>Hinges &amp; drawer systems</t>
  </si>
  <si>
    <t>S-011</t>
  </si>
  <si>
    <t>+357 22 999999</t>
  </si>
  <si>
    <t>info@hafele.cy</t>
  </si>
  <si>
    <t>Hardware distributor</t>
  </si>
  <si>
    <t>S-012</t>
  </si>
  <si>
    <t>+357 22 101010</t>
  </si>
  <si>
    <t>info@wurth.cy</t>
  </si>
  <si>
    <t>Screws &amp; fasteners</t>
  </si>
  <si>
    <t>S-013</t>
  </si>
  <si>
    <t>+357 22 121212</t>
  </si>
  <si>
    <t>pack@packpro.cy</t>
  </si>
  <si>
    <t>S-014</t>
  </si>
  <si>
    <t>Titebond / Kleiberit</t>
  </si>
  <si>
    <t>+357 25 131313</t>
  </si>
  <si>
    <t>glue@kleiberit.cy</t>
  </si>
  <si>
    <t>Glues &amp; adhesives</t>
  </si>
  <si>
    <t>S-015</t>
  </si>
  <si>
    <t>+357 22 141414</t>
  </si>
  <si>
    <t>abr@mirka.cy</t>
  </si>
  <si>
    <t>Sandpaper &amp; abrasives</t>
  </si>
  <si>
    <t>Audit Log — Change Tracking</t>
  </si>
  <si>
    <t>Log key edits: who changed what, when, and why.</t>
  </si>
  <si>
    <t>Timestamp</t>
  </si>
  <si>
    <t>User</t>
  </si>
  <si>
    <t>Entity_Type</t>
  </si>
  <si>
    <t>Entity_ID</t>
  </si>
  <si>
    <t>Field</t>
  </si>
  <si>
    <t>Old_Value</t>
  </si>
  <si>
    <t>New_Value</t>
  </si>
  <si>
    <t>Petros</t>
  </si>
  <si>
    <t>Price</t>
  </si>
  <si>
    <t>€12.50</t>
  </si>
  <si>
    <t>€12.20</t>
  </si>
  <si>
    <t>Switched to S-008 effective Mar 15</t>
  </si>
  <si>
    <t>Project</t>
  </si>
  <si>
    <t>P-2026-005</t>
  </si>
  <si>
    <t>Production</t>
  </si>
  <si>
    <t>Stage completed</t>
  </si>
  <si>
    <t>All cabinets off CNC</t>
  </si>
  <si>
    <t>Invoice</t>
  </si>
  <si>
    <t>INV-00015</t>
  </si>
  <si>
    <t>Paid_Amount</t>
  </si>
  <si>
    <t>€0.00</t>
  </si>
  <si>
    <t>€3,200.00</t>
  </si>
  <si>
    <t>Bank transfer received</t>
  </si>
  <si>
    <t>P-2026-018</t>
  </si>
  <si>
    <t>Discount_%</t>
  </si>
  <si>
    <t>0%</t>
  </si>
  <si>
    <t>5%</t>
  </si>
  <si>
    <t>Volume_discount</t>
  </si>
  <si>
    <t>Large kitchen + wardrobe combo</t>
  </si>
  <si>
    <t>JOINERY BUSINESS SYSTEM - LICENSE &amp; OWNERSHIP</t>
  </si>
  <si>
    <t>Copyright:      © 2026 Petros Kefalas. All rights reserved.</t>
  </si>
  <si>
    <t>Owner / Author: Petros Kefalas</t>
  </si>
  <si>
    <t>Contact:        cnckefalas@gmail.com</t>
  </si>
  <si>
    <t>Version:        v3.0  |  Ownership notice added: 8 July 2026</t>
  </si>
  <si>
    <t>LICENSE TERMS (SUMMARY)</t>
  </si>
  <si>
    <t>1. This workbook and the accompanying application are LICENSED, NOT SOLD.</t>
  </si>
  <si>
    <t>2. The licensee receives a non-exclusive, non-transferable right to use this system for its own internal</t>
  </si>
  <si>
    <t xml:space="preserve">   business purposes only, under a separate written License Agreement and payment of the agreed fees.</t>
  </si>
  <si>
    <t>3. Copying, reselling, sublicensing, distributing, or extracting the calculation logic of this system for</t>
  </si>
  <si>
    <t xml:space="preserve">   use in other products is prohibited without the prior written permission of the owner.</t>
  </si>
  <si>
    <t>4. If the agreed license fee is not paid, the right to use this system ends and all copies must be deleted.</t>
  </si>
  <si>
    <t>5. Formulas in this workbook are locked and hidden to protect the intellectual property of the author.</t>
  </si>
  <si>
    <t>This notice does not replace the License Agreement. In case of conflict, the signed License Agreement prevails.</t>
  </si>
  <si>
    <t>© 2026 Petros Kefalas - Licensed, not sold. Unauthorized copying or distribution prohibited.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</si>
</sst>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[Red]\(#,##0\);\-"/>
    <numFmt numFmtId="165" formatCode="\€#,##0;[Red]&quot;(€&quot;#,##0\);\-"/>
    <numFmt numFmtId="166" formatCode="0.0%;[Red]\(0.0%\);\-"/>
    <numFmt numFmtId="167" formatCode="#,##0.00;[Red]\(#,##0.00\);\-"/>
    <numFmt numFmtId="168" formatCode="dd\-mmm\-yyyy"/>
    <numFmt numFmtId="169" formatCode="\€#,##0.00"/>
    <numFmt numFmtId="170" formatCode="\€#,##0.00;[Red]&quot;(€&quot;#,##0.00\);\-"/>
    <numFmt numFmtId="171" formatCode="0.0%"/>
    <numFmt numFmtId="172" formatCode="yyyy\-mm\-dd"/>
    <numFmt numFmtId="173" formatCode="dd/mm"/>
    <numFmt numFmtId="174" formatCode="yyyy\-mm\-dd\ hh:mm"/>
  </numFmts>
  <fonts count="36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i/>
      <sz val="11"/>
      <color rgb="FF1F3864"/>
      <name val="Arial"/>
      <charset val="1"/>
    </font>
    <font>
      <b/>
      <sz val="10"/>
      <color rgb="FFFFFFFF"/>
      <name val="Arial"/>
      <charset val="1"/>
    </font>
    <font>
      <b/>
      <sz val="16"/>
      <color rgb="FFFFFFFF"/>
      <name val="Arial"/>
      <charset val="1"/>
    </font>
    <font>
      <b/>
      <sz val="12"/>
      <color rgb="FFFFFFFF"/>
      <name val="Arial"/>
      <charset val="1"/>
    </font>
    <font>
      <b/>
      <sz val="11"/>
      <color rgb="FFFFFFFF"/>
      <name val="Arial"/>
      <charset val="1"/>
    </font>
    <font>
      <sz val="11"/>
      <color rgb="FF006100"/>
      <name val="Arial"/>
      <charset val="1"/>
    </font>
    <font>
      <sz val="9"/>
      <color rgb="FF595959"/>
      <name val="Arial"/>
      <charset val="1"/>
    </font>
    <font>
      <b/>
      <sz val="14"/>
      <color rgb="FF1F3864"/>
      <name val="Arial"/>
      <charset val="1"/>
    </font>
    <font>
      <i/>
      <sz val="8"/>
      <color rgb="FF7F7F7F"/>
      <name val="Arial"/>
      <charset val="1"/>
    </font>
    <font>
      <sz val="8"/>
      <color rgb="FFFFFFFF"/>
      <name val="Arial"/>
      <charset val="1"/>
    </font>
    <font>
      <b/>
      <sz val="13"/>
      <color rgb="FFFFFFFF"/>
      <name val="Arial"/>
      <charset val="1"/>
    </font>
    <font>
      <b/>
      <sz val="11"/>
      <name val="Arial"/>
      <charset val="1"/>
    </font>
    <font>
      <sz val="11"/>
      <name val="Arial"/>
      <charset val="1"/>
    </font>
    <font>
      <b/>
      <sz val="18"/>
      <color rgb="FF1F3864"/>
      <name val="Arial"/>
      <charset val="1"/>
    </font>
    <font>
      <b/>
      <sz val="10"/>
      <name val="Arial"/>
      <charset val="1"/>
    </font>
    <font>
      <sz val="10"/>
      <color rgb="FF000000"/>
      <name val="Arial"/>
      <charset val="1"/>
    </font>
    <font>
      <b/>
      <sz val="10"/>
      <color rgb="FF1F3864"/>
      <name val="Arial"/>
      <charset val="1"/>
    </font>
    <font>
      <sz val="10"/>
      <name val="Arial"/>
      <charset val="1"/>
    </font>
    <font>
      <sz val="10"/>
      <color rgb="FF0070C0"/>
      <name val="Arial"/>
      <charset val="1"/>
    </font>
    <font>
      <b/>
      <sz val="16"/>
      <color rgb="FF1F3864"/>
      <name val="Arial"/>
      <charset val="1"/>
    </font>
    <font>
      <sz val="11"/>
      <color rgb="FF0000FF"/>
      <name val="Arial"/>
      <charset val="1"/>
    </font>
    <font>
      <i/>
      <sz val="10"/>
      <name val="Arial"/>
      <charset val="1"/>
    </font>
    <font>
      <b/>
      <sz val="14"/>
      <color rgb="FFFFFFFF"/>
      <name val="Arial"/>
      <charset val="1"/>
    </font>
    <font>
      <sz val="11"/>
      <color rgb="FF000000"/>
      <name val="Arial"/>
      <charset val="1"/>
    </font>
    <font>
      <sz val="1"/>
      <color rgb="FFFFFFFF"/>
      <name val="Arial"/>
      <charset val="1"/>
    </font>
    <font>
      <b/>
      <sz val="12"/>
      <color rgb="FF1F3864"/>
      <name val="Arial"/>
      <charset val="1"/>
    </font>
    <font>
      <b/>
      <sz val="12"/>
      <name val="Arial"/>
      <charset val="1"/>
    </font>
    <font>
      <i/>
      <sz val="11"/>
      <color rgb="FF808080"/>
      <name val="Arial"/>
      <charset val="1"/>
    </font>
    <font>
      <i/>
      <sz val="9"/>
      <color rgb="FF595959"/>
      <name val="Arial"/>
      <charset val="1"/>
    </font>
    <font>
      <sz val="10"/>
      <color rgb="FF00B050"/>
      <name val="Arial"/>
      <charset val="1"/>
    </font>
    <font>
      <b/>
      <sz val="10"/>
      <color rgb="FF000000"/>
      <name val="Arial"/>
      <charset val="1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i/>
      <sz val="9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1F3864"/>
        <bgColor rgb="FF262626"/>
      </patternFill>
    </fill>
    <fill>
      <patternFill patternType="solid">
        <fgColor rgb="FF2E75B6"/>
        <bgColor rgb="FF4472C4"/>
      </patternFill>
    </fill>
    <fill>
      <patternFill patternType="solid">
        <fgColor rgb="FF7030A0"/>
        <bgColor rgb="FF725990"/>
      </patternFill>
    </fill>
    <fill>
      <patternFill patternType="solid">
        <fgColor rgb="FFC00000"/>
        <bgColor rgb="FF9C0006"/>
      </patternFill>
    </fill>
    <fill>
      <patternFill patternType="solid">
        <fgColor rgb="FFBF8F00"/>
        <bgColor rgb="FFDC853E"/>
      </patternFill>
    </fill>
    <fill>
      <patternFill patternType="solid">
        <fgColor rgb="FF548235"/>
        <bgColor rgb="FF595959"/>
      </patternFill>
    </fill>
    <fill>
      <patternFill patternType="solid">
        <fgColor rgb="FF4472C4"/>
        <bgColor rgb="FF4672A8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E7ECF4"/>
        <bgColor rgb="FFF2F2F2"/>
      </patternFill>
    </fill>
    <fill>
      <patternFill patternType="solid">
        <fgColor rgb="FFE2EFDA"/>
        <bgColor rgb="FFE7ECF4"/>
      </patternFill>
    </fill>
    <fill>
      <patternFill patternType="solid">
        <fgColor rgb="FFD9E1F2"/>
        <bgColor rgb="FFD9D9D9"/>
      </patternFill>
    </fill>
    <fill>
      <patternFill patternType="solid">
        <fgColor rgb="FFBDD7EE"/>
        <bgColor rgb="FFD9D9D9"/>
      </patternFill>
    </fill>
    <fill>
      <patternFill patternType="solid">
        <fgColor rgb="FFF2F2F2"/>
        <bgColor rgb="FFF9F9F9"/>
      </patternFill>
    </fill>
    <fill>
      <patternFill patternType="solid">
        <fgColor rgb="FFC6EFCE"/>
        <bgColor rgb="FFE2EFDA"/>
      </patternFill>
    </fill>
    <fill>
      <patternFill patternType="solid">
        <fgColor rgb="FFFAFAFA"/>
        <bgColor rgb="FFF9F9F9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/>
    <xf numFmtId="170" fontId="11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/>
    <xf numFmtId="0" fontId="3" fillId="2" borderId="0" xfId="0" applyFont="1" applyFill="1"/>
    <xf numFmtId="0" fontId="16" fillId="0" borderId="0" xfId="0" applyFont="1"/>
    <xf numFmtId="0" fontId="17" fillId="0" borderId="0" xfId="0" applyFont="1" applyAlignment="1">
      <alignment vertical="top" wrapText="1"/>
    </xf>
    <xf numFmtId="0" fontId="18" fillId="0" borderId="0" xfId="0" applyFont="1"/>
    <xf numFmtId="0" fontId="9" fillId="0" borderId="0" xfId="0" applyFont="1"/>
    <xf numFmtId="0" fontId="19" fillId="0" borderId="0" xfId="0" applyFont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164" fontId="1" fillId="7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7" borderId="0" xfId="0" applyNumberFormat="1" applyFont="1" applyFill="1" applyAlignment="1">
      <alignment horizontal="center" vertical="center"/>
    </xf>
    <xf numFmtId="166" fontId="4" fillId="7" borderId="0" xfId="0" applyNumberFormat="1" applyFont="1" applyFill="1" applyAlignment="1">
      <alignment horizontal="center" vertical="center"/>
    </xf>
    <xf numFmtId="167" fontId="4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0" fontId="5" fillId="8" borderId="0" xfId="0" applyFont="1" applyFill="1" applyAlignment="1">
      <alignment horizontal="center"/>
    </xf>
    <xf numFmtId="168" fontId="5" fillId="3" borderId="1" xfId="0" applyNumberFormat="1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169" fontId="9" fillId="9" borderId="1" xfId="0" applyNumberFormat="1" applyFont="1" applyFill="1" applyBorder="1" applyAlignment="1">
      <alignment horizontal="left" vertical="center" wrapText="1"/>
    </xf>
    <xf numFmtId="3" fontId="9" fillId="10" borderId="1" xfId="0" applyNumberFormat="1" applyFont="1" applyFill="1" applyBorder="1" applyAlignment="1">
      <alignment horizontal="left" vertical="center" wrapText="1"/>
    </xf>
    <xf numFmtId="169" fontId="9" fillId="11" borderId="1" xfId="0" applyNumberFormat="1" applyFont="1" applyFill="1" applyBorder="1" applyAlignment="1">
      <alignment horizontal="left" vertical="center" wrapText="1"/>
    </xf>
    <xf numFmtId="3" fontId="9" fillId="11" borderId="1" xfId="0" applyNumberFormat="1" applyFont="1" applyFill="1" applyBorder="1" applyAlignment="1">
      <alignment horizontal="left" vertical="center" wrapText="1"/>
    </xf>
    <xf numFmtId="3" fontId="9" fillId="9" borderId="1" xfId="0" applyNumberFormat="1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5" fillId="3" borderId="0" xfId="0" applyFont="1" applyFill="1"/>
    <xf numFmtId="0" fontId="8" fillId="12" borderId="1" xfId="0" applyFont="1" applyFill="1" applyBorder="1" applyAlignment="1">
      <alignment horizontal="left" vertical="center" wrapText="1"/>
    </xf>
    <xf numFmtId="3" fontId="9" fillId="12" borderId="1" xfId="0" applyNumberFormat="1" applyFont="1" applyFill="1" applyBorder="1" applyAlignment="1">
      <alignment horizontal="left" vertical="center" wrapText="1"/>
    </xf>
    <xf numFmtId="171" fontId="9" fillId="11" borderId="1" xfId="0" applyNumberFormat="1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9" fontId="9" fillId="12" borderId="1" xfId="0" applyNumberFormat="1" applyFont="1" applyFill="1" applyBorder="1" applyAlignment="1">
      <alignment horizontal="left" vertical="center" wrapText="1"/>
    </xf>
    <xf numFmtId="170" fontId="9" fillId="11" borderId="1" xfId="0" applyNumberFormat="1" applyFont="1" applyFill="1" applyBorder="1" applyAlignment="1">
      <alignment horizontal="left" vertical="center" wrapText="1"/>
    </xf>
    <xf numFmtId="170" fontId="9" fillId="12" borderId="1" xfId="0" applyNumberFormat="1" applyFont="1" applyFill="1" applyBorder="1" applyAlignment="1">
      <alignment horizontal="left" vertical="center" wrapText="1"/>
    </xf>
    <xf numFmtId="169" fontId="9" fillId="10" borderId="1" xfId="0" applyNumberFormat="1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0" fillId="9" borderId="0" xfId="0" applyFont="1" applyFill="1" applyProtection="1">
      <protection locked="0"/>
    </xf>
    <xf numFmtId="168" fontId="20" fillId="9" borderId="0" xfId="0" applyNumberFormat="1" applyFont="1" applyFill="1" applyProtection="1">
      <protection locked="0"/>
    </xf>
    <xf numFmtId="169" fontId="20" fillId="9" borderId="0" xfId="0" applyNumberFormat="1" applyFont="1" applyFill="1" applyProtection="1">
      <protection locked="0"/>
    </xf>
    <xf numFmtId="171" fontId="20" fillId="9" borderId="0" xfId="0" applyNumberFormat="1" applyFont="1" applyFill="1" applyProtection="1">
      <protection locked="0"/>
    </xf>
    <xf numFmtId="172" fontId="20" fillId="9" borderId="0" xfId="0" applyNumberFormat="1" applyFont="1" applyFill="1" applyProtection="1">
      <protection locked="0"/>
    </xf>
    <xf numFmtId="169" fontId="0" fillId="0" borderId="0" xfId="0" applyNumberFormat="1" applyProtection="1">
      <protection hidden="1"/>
    </xf>
    <xf numFmtId="169" fontId="16" fillId="0" borderId="0" xfId="0" applyNumberFormat="1" applyFont="1" applyProtection="1">
      <protection hidden="1"/>
    </xf>
    <xf numFmtId="0" fontId="4" fillId="2" borderId="0" xfId="0" applyFont="1" applyFill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22" fillId="9" borderId="0" xfId="0" applyFont="1" applyFill="1" applyProtection="1">
      <protection locked="0"/>
    </xf>
    <xf numFmtId="168" fontId="22" fillId="9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7" fontId="22" fillId="9" borderId="1" xfId="0" applyNumberFormat="1" applyFont="1" applyFill="1" applyBorder="1" applyAlignment="1" applyProtection="1">
      <alignment horizontal="center" vertical="center" wrapText="1"/>
      <protection locked="0"/>
    </xf>
    <xf numFmtId="170" fontId="22" fillId="9" borderId="1" xfId="0" applyNumberFormat="1" applyFont="1" applyFill="1" applyBorder="1" applyProtection="1">
      <protection locked="0"/>
    </xf>
    <xf numFmtId="0" fontId="24" fillId="2" borderId="1" xfId="0" applyFont="1" applyFill="1" applyBorder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1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3" fillId="0" borderId="0" xfId="0" applyFont="1" applyProtection="1">
      <protection hidden="1"/>
    </xf>
    <xf numFmtId="168" fontId="7" fillId="0" borderId="0" xfId="0" applyNumberFormat="1" applyFont="1" applyProtection="1">
      <protection hidden="1"/>
    </xf>
    <xf numFmtId="0" fontId="7" fillId="0" borderId="0" xfId="0" applyFont="1" applyProtection="1"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70" fontId="7" fillId="0" borderId="1" xfId="0" applyNumberFormat="1" applyFont="1" applyBorder="1" applyProtection="1">
      <protection hidden="1"/>
    </xf>
    <xf numFmtId="170" fontId="0" fillId="0" borderId="1" xfId="0" applyNumberFormat="1" applyBorder="1" applyProtection="1">
      <protection hidden="1"/>
    </xf>
    <xf numFmtId="170" fontId="24" fillId="2" borderId="1" xfId="0" applyNumberFormat="1" applyFont="1" applyFill="1" applyBorder="1" applyProtection="1">
      <protection hidden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22" fillId="9" borderId="1" xfId="0" applyFont="1" applyFill="1" applyBorder="1" applyAlignment="1" applyProtection="1">
      <alignment horizontal="center" vertical="center" wrapText="1"/>
      <protection locked="0"/>
    </xf>
    <xf numFmtId="168" fontId="22" fillId="9" borderId="1" xfId="0" applyNumberFormat="1" applyFont="1" applyFill="1" applyBorder="1" applyAlignment="1" applyProtection="1">
      <alignment horizontal="center" vertical="center" wrapText="1"/>
      <protection locked="0"/>
    </xf>
    <xf numFmtId="170" fontId="7" fillId="0" borderId="1" xfId="0" applyNumberFormat="1" applyFont="1" applyBorder="1" applyAlignment="1" applyProtection="1">
      <alignment horizontal="center" vertical="center" wrapText="1"/>
      <protection hidden="1"/>
    </xf>
    <xf numFmtId="164" fontId="25" fillId="0" borderId="1" xfId="0" applyNumberFormat="1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168" fontId="7" fillId="0" borderId="1" xfId="0" applyNumberFormat="1" applyFont="1" applyBorder="1" applyAlignment="1" applyProtection="1">
      <alignment horizontal="center" vertical="center" wrapText="1"/>
      <protection hidden="1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170" fontId="22" fillId="9" borderId="1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" xfId="0" applyNumberFormat="1" applyBorder="1" applyAlignment="1" applyProtection="1">
      <alignment horizontal="center" vertical="center" wrapText="1"/>
      <protection locked="0"/>
    </xf>
    <xf numFmtId="166" fontId="22" fillId="9" borderId="1" xfId="0" applyNumberFormat="1" applyFont="1" applyFill="1" applyBorder="1" applyAlignment="1" applyProtection="1">
      <alignment horizontal="center" vertical="center" wrapText="1"/>
      <protection locked="0"/>
    </xf>
    <xf numFmtId="168" fontId="0" fillId="0" borderId="1" xfId="0" applyNumberFormat="1" applyBorder="1" applyAlignment="1" applyProtection="1">
      <alignment horizontal="center" vertical="center" wrapText="1"/>
      <protection locked="0"/>
    </xf>
    <xf numFmtId="170" fontId="0" fillId="0" borderId="1" xfId="0" applyNumberFormat="1" applyBorder="1" applyAlignment="1" applyProtection="1">
      <alignment horizontal="center" vertical="center" wrapText="1"/>
      <protection hidden="1"/>
    </xf>
    <xf numFmtId="166" fontId="0" fillId="0" borderId="1" xfId="0" applyNumberFormat="1" applyBorder="1" applyAlignment="1" applyProtection="1">
      <alignment horizontal="center" vertical="center" wrapText="1"/>
      <protection hidden="1"/>
    </xf>
    <xf numFmtId="0" fontId="22" fillId="9" borderId="1" xfId="0" applyFont="1" applyFill="1" applyBorder="1" applyAlignment="1" applyProtection="1">
      <alignment horizontal="left" vertical="center" wrapText="1"/>
      <protection locked="0"/>
    </xf>
    <xf numFmtId="173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27" fillId="13" borderId="0" xfId="0" applyFont="1" applyFill="1" applyProtection="1"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Protection="1"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Protection="1">
      <protection locked="0"/>
    </xf>
    <xf numFmtId="170" fontId="7" fillId="0" borderId="0" xfId="0" applyNumberFormat="1" applyFont="1" applyProtection="1">
      <protection hidden="1"/>
    </xf>
    <xf numFmtId="166" fontId="7" fillId="0" borderId="1" xfId="0" applyNumberFormat="1" applyFont="1" applyBorder="1" applyAlignment="1" applyProtection="1">
      <alignment horizontal="center" vertical="center" wrapText="1"/>
      <protection hidden="1"/>
    </xf>
    <xf numFmtId="170" fontId="13" fillId="14" borderId="1" xfId="0" applyNumberFormat="1" applyFont="1" applyFill="1" applyBorder="1" applyProtection="1">
      <protection hidden="1"/>
    </xf>
    <xf numFmtId="170" fontId="28" fillId="14" borderId="1" xfId="0" applyNumberFormat="1" applyFont="1" applyFill="1" applyBorder="1" applyProtection="1">
      <protection hidden="1"/>
    </xf>
    <xf numFmtId="167" fontId="13" fillId="14" borderId="1" xfId="0" applyNumberFormat="1" applyFont="1" applyFill="1" applyBorder="1" applyProtection="1">
      <protection hidden="1"/>
    </xf>
    <xf numFmtId="170" fontId="13" fillId="0" borderId="0" xfId="0" applyNumberFormat="1" applyFont="1" applyProtection="1">
      <protection hidden="1"/>
    </xf>
    <xf numFmtId="166" fontId="13" fillId="0" borderId="0" xfId="0" applyNumberFormat="1" applyFont="1" applyProtection="1">
      <protection hidden="1"/>
    </xf>
    <xf numFmtId="0" fontId="13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7" fillId="13" borderId="0" xfId="0" applyFont="1" applyFill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67" fontId="25" fillId="0" borderId="1" xfId="0" applyNumberFormat="1" applyFont="1" applyBorder="1" applyAlignment="1" applyProtection="1">
      <alignment horizontal="center" vertical="center" wrapText="1"/>
      <protection hidden="1"/>
    </xf>
    <xf numFmtId="170" fontId="25" fillId="0" borderId="1" xfId="0" applyNumberFormat="1" applyFont="1" applyBorder="1" applyAlignment="1" applyProtection="1">
      <alignment horizontal="center" vertical="center" wrapText="1"/>
      <protection hidden="1"/>
    </xf>
    <xf numFmtId="170" fontId="13" fillId="14" borderId="1" xfId="0" applyNumberFormat="1" applyFont="1" applyFill="1" applyBorder="1" applyAlignment="1" applyProtection="1">
      <alignment horizontal="center" vertical="center" wrapText="1"/>
      <protection hidden="1"/>
    </xf>
    <xf numFmtId="170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17" fillId="0" borderId="0" xfId="0" applyFont="1" applyProtection="1">
      <protection hidden="1"/>
    </xf>
    <xf numFmtId="4" fontId="17" fillId="15" borderId="0" xfId="0" applyNumberFormat="1" applyFont="1" applyFill="1" applyProtection="1">
      <protection hidden="1"/>
    </xf>
    <xf numFmtId="169" fontId="17" fillId="15" borderId="0" xfId="0" applyNumberFormat="1" applyFont="1" applyFill="1" applyProtection="1">
      <protection hidden="1"/>
    </xf>
    <xf numFmtId="1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15" borderId="1" xfId="0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hidden="1"/>
    </xf>
    <xf numFmtId="164" fontId="13" fillId="0" borderId="1" xfId="0" applyNumberFormat="1" applyFont="1" applyBorder="1" applyAlignment="1" applyProtection="1">
      <alignment horizontal="center" vertical="center" wrapText="1"/>
      <protection hidden="1"/>
    </xf>
    <xf numFmtId="164" fontId="0" fillId="0" borderId="1" xfId="0" applyNumberFormat="1" applyBorder="1" applyAlignment="1" applyProtection="1">
      <alignment horizontal="center" vertical="center" wrapText="1"/>
      <protection hidden="1"/>
    </xf>
    <xf numFmtId="166" fontId="13" fillId="0" borderId="1" xfId="0" applyNumberFormat="1" applyFont="1" applyBorder="1" applyAlignment="1" applyProtection="1">
      <alignment horizontal="center" vertical="center" wrapText="1"/>
      <protection hidden="1"/>
    </xf>
    <xf numFmtId="0" fontId="6" fillId="2" borderId="0" xfId="0" applyFont="1" applyFill="1" applyProtection="1">
      <protection locked="0"/>
    </xf>
    <xf numFmtId="0" fontId="13" fillId="14" borderId="1" xfId="0" applyFont="1" applyFill="1" applyBorder="1" applyProtection="1">
      <protection locked="0"/>
    </xf>
    <xf numFmtId="0" fontId="27" fillId="0" borderId="0" xfId="0" applyFont="1" applyProtection="1">
      <protection locked="0"/>
    </xf>
    <xf numFmtId="0" fontId="7" fillId="0" borderId="1" xfId="0" applyFont="1" applyBorder="1" applyAlignment="1" applyProtection="1">
      <alignment horizontal="left" vertical="center" wrapText="1"/>
      <protection hidden="1"/>
    </xf>
    <xf numFmtId="164" fontId="22" fillId="9" borderId="1" xfId="0" applyNumberFormat="1" applyFont="1" applyFill="1" applyBorder="1" applyAlignment="1" applyProtection="1">
      <alignment horizontal="center" vertical="center" wrapText="1"/>
      <protection hidden="1"/>
    </xf>
    <xf numFmtId="170" fontId="13" fillId="0" borderId="1" xfId="0" applyNumberFormat="1" applyFont="1" applyBorder="1" applyAlignment="1" applyProtection="1">
      <alignment horizontal="center" vertical="center" wrapText="1"/>
      <protection hidden="1"/>
    </xf>
    <xf numFmtId="164" fontId="13" fillId="14" borderId="1" xfId="0" applyNumberFormat="1" applyFont="1" applyFill="1" applyBorder="1" applyAlignment="1" applyProtection="1">
      <alignment horizontal="center" vertical="center" wrapText="1"/>
      <protection hidden="1"/>
    </xf>
    <xf numFmtId="168" fontId="22" fillId="9" borderId="1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7" fillId="0" borderId="0" xfId="0" applyFont="1" applyProtection="1">
      <protection hidden="1"/>
    </xf>
    <xf numFmtId="166" fontId="13" fillId="14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0" xfId="0" applyFill="1" applyProtection="1">
      <protection locked="0"/>
    </xf>
    <xf numFmtId="170" fontId="16" fillId="0" borderId="0" xfId="0" applyNumberFormat="1" applyFont="1" applyProtection="1">
      <protection hidden="1"/>
    </xf>
    <xf numFmtId="0" fontId="17" fillId="9" borderId="0" xfId="0" applyFont="1" applyFill="1" applyProtection="1">
      <protection locked="0"/>
    </xf>
    <xf numFmtId="0" fontId="16" fillId="0" borderId="0" xfId="0" applyFont="1" applyProtection="1">
      <protection locked="0"/>
    </xf>
    <xf numFmtId="169" fontId="16" fillId="16" borderId="0" xfId="0" applyNumberFormat="1" applyFont="1" applyFill="1" applyProtection="1">
      <protection hidden="1"/>
    </xf>
    <xf numFmtId="170" fontId="22" fillId="9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6" fillId="0" borderId="2" xfId="0" applyFont="1" applyBorder="1" applyProtection="1">
      <protection locked="0"/>
    </xf>
    <xf numFmtId="170" fontId="0" fillId="0" borderId="0" xfId="0" applyNumberFormat="1" applyProtection="1">
      <protection hidden="1"/>
    </xf>
    <xf numFmtId="170" fontId="16" fillId="15" borderId="0" xfId="0" applyNumberFormat="1" applyFont="1" applyFill="1" applyProtection="1">
      <protection hidden="1"/>
    </xf>
    <xf numFmtId="170" fontId="0" fillId="0" borderId="2" xfId="0" applyNumberFormat="1" applyBorder="1" applyProtection="1">
      <protection hidden="1"/>
    </xf>
    <xf numFmtId="170" fontId="16" fillId="15" borderId="2" xfId="0" applyNumberFormat="1" applyFont="1" applyFill="1" applyBorder="1" applyProtection="1">
      <protection hidden="1"/>
    </xf>
    <xf numFmtId="170" fontId="32" fillId="0" borderId="2" xfId="0" applyNumberFormat="1" applyFont="1" applyBorder="1" applyProtection="1">
      <protection hidden="1"/>
    </xf>
    <xf numFmtId="171" fontId="0" fillId="0" borderId="0" xfId="0" applyNumberFormat="1" applyProtection="1">
      <protection hidden="1"/>
    </xf>
    <xf numFmtId="171" fontId="16" fillId="15" borderId="0" xfId="0" applyNumberFormat="1" applyFont="1" applyFill="1" applyProtection="1">
      <protection hidden="1"/>
    </xf>
    <xf numFmtId="170" fontId="3" fillId="2" borderId="0" xfId="0" applyNumberFormat="1" applyFont="1" applyFill="1" applyProtection="1">
      <protection hidden="1"/>
    </xf>
    <xf numFmtId="0" fontId="31" fillId="0" borderId="0" xfId="0" applyFont="1" applyProtection="1">
      <protection hidden="1"/>
    </xf>
    <xf numFmtId="169" fontId="31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13" fillId="14" borderId="0" xfId="0" applyFont="1" applyFill="1" applyProtection="1">
      <protection locked="0"/>
    </xf>
    <xf numFmtId="167" fontId="0" fillId="0" borderId="1" xfId="0" applyNumberFormat="1" applyBorder="1" applyAlignment="1" applyProtection="1">
      <alignment horizontal="center" vertical="center" wrapText="1"/>
      <protection hidden="1"/>
    </xf>
    <xf numFmtId="167" fontId="13" fillId="14" borderId="1" xfId="0" applyNumberFormat="1" applyFont="1" applyFill="1" applyBorder="1" applyAlignment="1" applyProtection="1">
      <alignment horizontal="center" vertical="center" wrapText="1"/>
      <protection hidden="1"/>
    </xf>
    <xf numFmtId="164" fontId="1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168" fontId="17" fillId="15" borderId="0" xfId="0" applyNumberFormat="1" applyFont="1" applyFill="1" applyProtection="1">
      <protection hidden="1"/>
    </xf>
    <xf numFmtId="3" fontId="17" fillId="15" borderId="0" xfId="0" applyNumberFormat="1" applyFont="1" applyFill="1" applyProtection="1">
      <protection hidden="1"/>
    </xf>
    <xf numFmtId="0" fontId="17" fillId="15" borderId="0" xfId="0" applyFont="1" applyFill="1" applyProtection="1">
      <protection hidden="1"/>
    </xf>
    <xf numFmtId="0" fontId="0" fillId="0" borderId="1" xfId="0" applyBorder="1" applyProtection="1">
      <protection locked="0"/>
    </xf>
    <xf numFmtId="168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164" fontId="22" fillId="9" borderId="1" xfId="0" applyNumberFormat="1" applyFont="1" applyFill="1" applyBorder="1" applyProtection="1">
      <protection locked="0"/>
    </xf>
    <xf numFmtId="168" fontId="0" fillId="0" borderId="1" xfId="0" applyNumberFormat="1" applyBorder="1" applyProtection="1"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167" fontId="7" fillId="0" borderId="1" xfId="0" applyNumberFormat="1" applyFont="1" applyBorder="1" applyAlignment="1" applyProtection="1">
      <alignment horizontal="center" vertical="center" wrapText="1"/>
      <protection hidden="1"/>
    </xf>
    <xf numFmtId="0" fontId="6" fillId="8" borderId="0" xfId="0" applyFont="1" applyFill="1" applyAlignment="1" applyProtection="1">
      <alignment horizontal="center" vertical="center" wrapText="1"/>
      <protection locked="0"/>
    </xf>
    <xf numFmtId="0" fontId="6" fillId="8" borderId="0" xfId="0" applyFont="1" applyFill="1" applyAlignment="1" applyProtection="1">
      <alignment horizontal="left" vertical="center" wrapText="1"/>
      <protection locked="0"/>
    </xf>
    <xf numFmtId="174" fontId="0" fillId="0" borderId="0" xfId="0" applyNumberFormat="1" applyProtection="1">
      <protection locked="0"/>
    </xf>
    <xf numFmtId="174" fontId="0" fillId="17" borderId="0" xfId="0" applyNumberFormat="1" applyFill="1" applyProtection="1">
      <protection locked="0"/>
    </xf>
    <xf numFmtId="0" fontId="0" fillId="17" borderId="0" xfId="0" applyFill="1" applyProtection="1">
      <protection locked="0"/>
    </xf>
  </cellXfs>
  <cellStyles count="1">
    <cellStyle name="Normal" xfId="0" builtinId="0"/>
  </cellStyles>
  <dxfs count="84"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C6EFCE"/>
        </patternFill>
      </fill>
    </dxf>
    <dxf>
      <fill>
        <patternFill>
          <bgColor rgb="FFF8CBAD"/>
        </patternFill>
      </fill>
    </dxf>
    <dxf>
      <font>
        <b/>
        <color rgb="FFFFFFFF"/>
        <name val="Arial"/>
        <charset val="1"/>
      </font>
      <fill>
        <patternFill>
          <bgColor rgb="FFC00000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2F2F2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2F2F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D9D9D9"/>
        </patternFill>
      </fill>
    </dxf>
    <dxf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8CBAD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ill>
        <patternFill>
          <bgColor rgb="FFF8CBAD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CE4D6"/>
        </patternFill>
      </fill>
    </dxf>
    <dxf>
      <fill>
        <patternFill>
          <bgColor rgb="FFE2EFDA"/>
        </patternFill>
      </fill>
    </dxf>
    <dxf>
      <fill>
        <patternFill>
          <bgColor rgb="FFF8CBAD"/>
        </patternFill>
      </fill>
    </dxf>
    <dxf>
      <fill>
        <patternFill>
          <bgColor rgb="FFC6EFCE"/>
        </patternFill>
      </fill>
    </dxf>
    <dxf>
      <fill>
        <patternFill>
          <bgColor rgb="FFF8CBAD"/>
        </patternFill>
      </fill>
    </dxf>
    <dxf>
      <fill>
        <patternFill>
          <bgColor rgb="FFC6EFCE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8CBAD"/>
        </patternFill>
      </fill>
    </dxf>
    <dxf>
      <fill>
        <patternFill>
          <bgColor rgb="FFF8CBAD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ont>
        <b/>
        <color rgb="FF9C0006"/>
        <name val="Arial"/>
        <charset val="1"/>
      </font>
      <fill>
        <patternFill>
          <bgColor rgb="FFF8CBAD"/>
        </patternFill>
      </fill>
    </dxf>
    <dxf>
      <fill>
        <patternFill>
          <bgColor rgb="FFF2F2F2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8CBAD"/>
        </patternFill>
      </fill>
    </dxf>
    <dxf>
      <fill>
        <patternFill>
          <bgColor rgb="FFFFEB9C"/>
        </patternFill>
      </fill>
    </dxf>
    <dxf>
      <fill>
        <patternFill>
          <bgColor rgb="FFF2F2F2"/>
        </patternFill>
      </fill>
    </dxf>
    <dxf>
      <fill>
        <patternFill>
          <bgColor rgb="FF4472C4"/>
        </patternFill>
      </fill>
    </dxf>
    <dxf>
      <fill>
        <patternFill>
          <bgColor rgb="FFC00000"/>
        </patternFill>
      </fill>
    </dxf>
    <dxf>
      <fill>
        <patternFill>
          <bgColor rgb="FF70AD47"/>
        </patternFill>
      </fill>
    </dxf>
    <dxf>
      <font>
        <b/>
        <color rgb="FFFFFFFF"/>
        <name val="Arial"/>
        <charset val="1"/>
      </font>
      <fill>
        <patternFill>
          <bgColor rgb="FF4472C4"/>
        </patternFill>
      </fill>
    </dxf>
    <dxf>
      <font>
        <b/>
        <color rgb="FFFFFFFF"/>
        <name val="Arial"/>
        <charset val="1"/>
      </font>
      <fill>
        <patternFill>
          <bgColor rgb="FF70AD47"/>
        </patternFill>
      </fill>
    </dxf>
    <dxf>
      <font>
        <b/>
        <color rgb="FFFFFFFF"/>
        <name val="Arial"/>
        <charset val="1"/>
      </font>
      <fill>
        <patternFill>
          <bgColor rgb="FFC00000"/>
        </patternFill>
      </fill>
    </dxf>
    <dxf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8CBAD"/>
        </patternFill>
      </fill>
    </dxf>
    <dxf>
      <fill>
        <patternFill>
          <bgColor rgb="FFD9D9D9"/>
        </patternFill>
      </fill>
    </dxf>
    <dxf>
      <fill>
        <patternFill>
          <bgColor rgb="FFC6EFCE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D9D9D9"/>
        </patternFill>
      </fill>
    </dxf>
    <dxf>
      <fill>
        <patternFill>
          <bgColor rgb="FFC6EFCE"/>
        </patternFill>
      </fill>
    </dxf>
    <dxf>
      <fill>
        <patternFill>
          <bgColor rgb="FFF8CBAD"/>
        </patternFill>
      </fill>
    </dxf>
    <dxf>
      <font>
        <b/>
        <color rgb="FF9C0006"/>
        <name val="Arial"/>
        <charset val="1"/>
      </font>
      <fill>
        <patternFill>
          <bgColor rgb="FFF8CBAD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E2EFDA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70AD47"/>
      <rgbColor rgb="FF0000FF"/>
      <rgbColor rgb="FFF2F2F2"/>
      <rgbColor rgb="FFFF00FF"/>
      <rgbColor rgb="FFFAFAFA"/>
      <rgbColor rgb="FF9C0006"/>
      <rgbColor rgb="FF006100"/>
      <rgbColor rgb="FF000080"/>
      <rgbColor rgb="FF548235"/>
      <rgbColor rgb="FF7F7F7F"/>
      <rgbColor rgb="FF0F6B5A"/>
      <rgbColor rgb="FFBFBFBF"/>
      <rgbColor rgb="FF808080"/>
      <rgbColor rgb="FF93A9CE"/>
      <rgbColor rgb="FFAB4744"/>
      <rgbColor rgb="FFFFF2CC"/>
      <rgbColor rgb="FFE7ECF4"/>
      <rgbColor rgb="FF660066"/>
      <rgbColor rgb="FFDC853E"/>
      <rgbColor rgb="FF0070C0"/>
      <rgbColor rgb="FFBDD7EE"/>
      <rgbColor rgb="FF000080"/>
      <rgbColor rgb="FFFF00FF"/>
      <rgbColor rgb="FFF9F9F9"/>
      <rgbColor rgb="FF00FFFF"/>
      <rgbColor rgb="FF800080"/>
      <rgbColor rgb="FF800000"/>
      <rgbColor rgb="FF2E75B6"/>
      <rgbColor rgb="FF0000FF"/>
      <rgbColor rgb="FF00B0F0"/>
      <rgbColor rgb="FFE2EFDA"/>
      <rgbColor rgb="FFC6EFCE"/>
      <rgbColor rgb="FFFFEB9C"/>
      <rgbColor rgb="FFD9D9D9"/>
      <rgbColor rgb="FFFFC7CE"/>
      <rgbColor rgb="FFD9E1F2"/>
      <rgbColor rgb="FFF8CBAD"/>
      <rgbColor rgb="FF4472C4"/>
      <rgbColor rgb="FF00B050"/>
      <rgbColor rgb="FF8AA64F"/>
      <rgbColor rgb="FFFCE4D6"/>
      <rgbColor rgb="FFBF8F00"/>
      <rgbColor rgb="FFED7D31"/>
      <rgbColor rgb="FF725990"/>
      <rgbColor rgb="FF878787"/>
      <rgbColor rgb="FF1F3864"/>
      <rgbColor rgb="FF4299B0"/>
      <rgbColor rgb="FF4F81BD"/>
      <rgbColor rgb="FF4672A8"/>
      <rgbColor rgb="FF843C0C"/>
      <rgbColor rgb="FF7030A0"/>
      <rgbColor rgb="FF59595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KbsNotice" Type="http://schemas.openxmlformats.org/officeDocument/2006/relationships/worksheet" Target="worksheets/sheetKbsNotice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GB" sz="1800" b="1" u="none" strike="noStrike">
                <a:solidFill>
                  <a:srgbClr val="000000"/>
                </a:solidFill>
                <a:uFillTx/>
                <a:latin typeface="Calibri"/>
              </a:rPr>
              <a:t>Profit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Dashboard!$A$31:$A$37</c:f>
              <c:strCache>
                <c:ptCount val="7"/>
                <c:pt idx="0">
                  <c:v>Total unpaid balance</c:v>
                </c:pt>
                <c:pt idx="1">
                  <c:v>Kitchens</c:v>
                </c:pt>
                <c:pt idx="2">
                  <c:v>OPERATIONS &amp; AFTERCARE</c:v>
                </c:pt>
                <c:pt idx="3">
                  <c:v>Active Warranties</c:v>
                </c:pt>
                <c:pt idx="4">
                  <c:v>10</c:v>
                </c:pt>
                <c:pt idx="5">
                  <c:v>Products under cover</c:v>
                </c:pt>
                <c:pt idx="6">
                  <c:v>Cabinets</c:v>
                </c:pt>
              </c:strCache>
            </c:strRef>
          </c:cat>
          <c:val>
            <c:numRef>
              <c:f>Dashboard!$B$31:$B$37</c:f>
              <c:numCache>
                <c:formatCode>\€#,##0.00;[Red]"(€"#,##0.00\);\-</c:formatCode>
                <c:ptCount val="7"/>
                <c:pt idx="1">
                  <c:v>28700</c:v>
                </c:pt>
                <c:pt idx="6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C-444D-B275-316A14E1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5298"/>
        <c:axId val="356951"/>
      </c:barChart>
      <c:catAx>
        <c:axId val="530529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356951"/>
        <c:crosses val="autoZero"/>
        <c:auto val="1"/>
        <c:lblAlgn val="ctr"/>
        <c:lblOffset val="100"/>
        <c:noMultiLvlLbl val="0"/>
      </c:catAx>
      <c:valAx>
        <c:axId val="35695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GB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€#,##0.00;[Red]&quot;(€&quot;#,##0.0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530529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GB" sz="1800" b="1" u="none" strike="noStrike">
                <a:solidFill>
                  <a:srgbClr val="000000"/>
                </a:solidFill>
                <a:uFillTx/>
                <a:latin typeface="Calibri"/>
              </a:rPr>
              <a:t>Profit by Category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Reports!$F$4</c:f>
              <c:strCache>
                <c:ptCount val="1"/>
                <c:pt idx="0">
                  <c:v>Profit (€)</c:v>
                </c:pt>
              </c:strCache>
            </c:strRef>
          </c:tx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Reports!$B$5:$B$11</c:f>
              <c:strCache>
                <c:ptCount val="7"/>
                <c:pt idx="0">
                  <c:v>Doors</c:v>
                </c:pt>
                <c:pt idx="1">
                  <c:v>Kitchens</c:v>
                </c:pt>
                <c:pt idx="2">
                  <c:v>Wardrobes</c:v>
                </c:pt>
                <c:pt idx="3">
                  <c:v>Wall panels</c:v>
                </c:pt>
                <c:pt idx="4">
                  <c:v>Ceiling panels</c:v>
                </c:pt>
                <c:pt idx="5">
                  <c:v>Furniture</c:v>
                </c:pt>
                <c:pt idx="6">
                  <c:v>Cabinets</c:v>
                </c:pt>
              </c:strCache>
            </c:strRef>
          </c:cat>
          <c:val>
            <c:numRef>
              <c:f>Reports!$F$5:$F$11</c:f>
              <c:numCache>
                <c:formatCode>\€#,##0.00;[Red]"(€"#,##0.00\);\-</c:formatCode>
                <c:ptCount val="7"/>
                <c:pt idx="0">
                  <c:v>1600</c:v>
                </c:pt>
                <c:pt idx="1">
                  <c:v>28700</c:v>
                </c:pt>
                <c:pt idx="2">
                  <c:v>6500</c:v>
                </c:pt>
                <c:pt idx="3">
                  <c:v>1400</c:v>
                </c:pt>
                <c:pt idx="4">
                  <c:v>1400</c:v>
                </c:pt>
                <c:pt idx="5">
                  <c:v>4200</c:v>
                </c:pt>
                <c:pt idx="6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4D-4361-80FC-42C7FBD10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818557"/>
        <c:axId val="38319637"/>
      </c:barChart>
      <c:catAx>
        <c:axId val="9981855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GB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Category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38319637"/>
        <c:crosses val="autoZero"/>
        <c:auto val="1"/>
        <c:lblAlgn val="ctr"/>
        <c:lblOffset val="100"/>
        <c:noMultiLvlLbl val="0"/>
      </c:catAx>
      <c:valAx>
        <c:axId val="3831963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GB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€#,##0.00;[Red]&quot;(€&quot;#,##0.0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99818557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GB" sz="1800" b="1" u="none" strike="noStrike">
                <a:solidFill>
                  <a:srgbClr val="000000"/>
                </a:solidFill>
                <a:uFillTx/>
                <a:latin typeface="Calibri"/>
              </a:rPr>
              <a:t>Quoted Value Share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BEC-47CC-940F-D4ABD47FA354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EC-47CC-940F-D4ABD47FA354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EC-47CC-940F-D4ABD47FA354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EC-47CC-940F-D4ABD47FA354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EC-47CC-940F-D4ABD47FA354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EC-47CC-940F-D4ABD47FA354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BEC-47CC-940F-D4ABD47FA354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C-47CC-940F-D4ABD47FA354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C-47CC-940F-D4ABD47FA354}"/>
                </c:ext>
              </c:extLst>
            </c:dLbl>
            <c:dLbl>
              <c:idx val="2"/>
              <c:layout>
                <c:manualLayout>
                  <c:x val="0"/>
                  <c:y val="0.13686025688526621"/>
                </c:manualLayout>
              </c:layout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C-47CC-940F-D4ABD47FA354}"/>
                </c:ext>
              </c:extLst>
            </c:dLbl>
            <c:dLbl>
              <c:idx val="3"/>
              <c:layout>
                <c:manualLayout>
                  <c:x val="0"/>
                  <c:y val="0.20785877485488452"/>
                </c:manualLayout>
              </c:layout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EC-47CC-940F-D4ABD47FA354}"/>
                </c:ext>
              </c:extLst>
            </c:dLbl>
            <c:dLbl>
              <c:idx val="4"/>
              <c:layout>
                <c:manualLayout>
                  <c:x val="0"/>
                  <c:y val="0.10577003828578486"/>
                </c:manualLayout>
              </c:layout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EC-47CC-940F-D4ABD47FA354}"/>
                </c:ext>
              </c:extLst>
            </c:dLbl>
            <c:dLbl>
              <c:idx val="5"/>
              <c:layout>
                <c:manualLayout>
                  <c:x val="-4.9409975973570927E-2"/>
                  <c:y val="4.6743546992713353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EC-47CC-940F-D4ABD47FA354}"/>
                </c:ext>
              </c:extLst>
            </c:dLbl>
            <c:dLbl>
              <c:idx val="6"/>
              <c:layout>
                <c:manualLayout>
                  <c:x val="-0.10805907331397871"/>
                  <c:y val="-2.1190255650240832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EC-47CC-940F-D4ABD47FA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n-US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Reports!$B$5:$B$11</c:f>
              <c:strCache>
                <c:ptCount val="7"/>
                <c:pt idx="0">
                  <c:v>Doors</c:v>
                </c:pt>
                <c:pt idx="1">
                  <c:v>Kitchens</c:v>
                </c:pt>
                <c:pt idx="2">
                  <c:v>Wardrobes</c:v>
                </c:pt>
                <c:pt idx="3">
                  <c:v>Wall panels</c:v>
                </c:pt>
                <c:pt idx="4">
                  <c:v>Ceiling panels</c:v>
                </c:pt>
                <c:pt idx="5">
                  <c:v>Furniture</c:v>
                </c:pt>
                <c:pt idx="6">
                  <c:v>Cabinets</c:v>
                </c:pt>
              </c:strCache>
            </c:strRef>
          </c:cat>
          <c:val>
            <c:numRef>
              <c:f>Reports!$D$5:$D$11</c:f>
              <c:numCache>
                <c:formatCode>\€#,##0.00;[Red]"(€"#,##0.00\);\-</c:formatCode>
                <c:ptCount val="7"/>
                <c:pt idx="0">
                  <c:v>4500</c:v>
                </c:pt>
                <c:pt idx="1">
                  <c:v>86300</c:v>
                </c:pt>
                <c:pt idx="2">
                  <c:v>18200</c:v>
                </c:pt>
                <c:pt idx="3">
                  <c:v>4200</c:v>
                </c:pt>
                <c:pt idx="4">
                  <c:v>3800</c:v>
                </c:pt>
                <c:pt idx="5">
                  <c:v>12000</c:v>
                </c:pt>
                <c:pt idx="6">
                  <c:v>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EC-47CC-940F-D4ABD47FA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104760</xdr:colOff>
      <xdr:row>33</xdr:row>
      <xdr:rowOff>188640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18</xdr:col>
      <xdr:colOff>363240</xdr:colOff>
      <xdr:row>19</xdr:row>
      <xdr:rowOff>190800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21</xdr:row>
      <xdr:rowOff>0</xdr:rowOff>
    </xdr:from>
    <xdr:to>
      <xdr:col>16</xdr:col>
      <xdr:colOff>146520</xdr:colOff>
      <xdr:row>37</xdr:row>
      <xdr:rowOff>190800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3DFD-2BC7-435C-837E-F4C69A289204}">
  <sheetPr>
    <tabColor rgb="FFC00000"/>
  </sheetPr>
  <dimension ref="A1:A17"/>
  <sheetViews>
    <sheetView tabSelected="1" workbookViewId="0"/>
  </sheetViews>
  <sheetFormatPr defaultRowHeight="15" x14ac:dyDescent="0.25"/>
  <cols>
    <col min="1" max="1" width="120.7109375" customWidth="1"/>
  </cols>
  <sheetData>
    <row r="1" spans="1:1" ht="18.75" x14ac:dyDescent="0.3">
      <c r="A1" s="58" t="s">
        <v>1757</v>
      </c>
    </row>
    <row r="3" spans="1:1" x14ac:dyDescent="0.25">
      <c r="A3" t="s">
        <v>1758</v>
      </c>
    </row>
    <row r="4" spans="1:1" x14ac:dyDescent="0.25">
      <c r="A4" t="s">
        <v>1759</v>
      </c>
    </row>
    <row r="5" spans="1:1" x14ac:dyDescent="0.25">
      <c r="A5" t="s">
        <v>1760</v>
      </c>
    </row>
    <row r="6" spans="1:1" x14ac:dyDescent="0.25">
      <c r="A6" t="s">
        <v>1761</v>
      </c>
    </row>
    <row r="8" spans="1:1" x14ac:dyDescent="0.25">
      <c r="A8" s="57" t="s">
        <v>1762</v>
      </c>
    </row>
    <row r="9" spans="1:1" x14ac:dyDescent="0.25">
      <c r="A9" t="s">
        <v>1763</v>
      </c>
    </row>
    <row r="10" spans="1:1" x14ac:dyDescent="0.25">
      <c r="A10" t="s">
        <v>1764</v>
      </c>
    </row>
    <row r="11" spans="1:1" x14ac:dyDescent="0.25">
      <c r="A11" t="s">
        <v>1765</v>
      </c>
    </row>
    <row r="12" spans="1:1" x14ac:dyDescent="0.25">
      <c r="A12" t="s">
        <v>1766</v>
      </c>
    </row>
    <row r="13" spans="1:1" x14ac:dyDescent="0.25">
      <c r="A13" t="s">
        <v>1767</v>
      </c>
    </row>
    <row r="14" spans="1:1" x14ac:dyDescent="0.25">
      <c r="A14" t="s">
        <v>1768</v>
      </c>
    </row>
    <row r="15" spans="1:1" x14ac:dyDescent="0.25">
      <c r="A15" t="s">
        <v>1769</v>
      </c>
    </row>
    <row r="17" spans="1:1" x14ac:dyDescent="0.25">
      <c r="A17" t="s">
        <v>1770</v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pageMargins left="0.7" right="0.7" top="0.75" bottom="0.75" header="0.3" footer="0.3"/>
  <pageSetup orientation="portrait" r:id="rId1"/>
  <headerFooter>
    <oddFooter>&amp;C© 2026 Petros Kefalas - Licensed, not sold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D7D31"/>
  </sheetPr>
  <dimension ref="A1:F65"/>
  <sheetViews>
    <sheetView zoomScaleNormal="100" workbookViewId="0">
      <selection sqref="A1:F1"/>
    </sheetView>
  </sheetViews>
  <sheetFormatPr defaultColWidth="8.7109375" defaultRowHeight="15" x14ac:dyDescent="0.25"/>
  <cols>
    <col min="1" max="1" width="6" customWidth="1"/>
    <col min="2" max="2" width="34" customWidth="1"/>
    <col min="3" max="5" width="14" customWidth="1"/>
    <col min="6" max="6" width="26" customWidth="1"/>
  </cols>
  <sheetData>
    <row r="1" spans="1:6" ht="30" customHeight="1" x14ac:dyDescent="0.25">
      <c r="A1" s="71" t="s">
        <v>481</v>
      </c>
      <c r="B1" s="71"/>
      <c r="C1" s="71"/>
      <c r="D1" s="71"/>
      <c r="E1" s="71"/>
      <c r="F1" s="71"/>
    </row>
    <row r="2" spans="1:6" ht="15" customHeight="1" x14ac:dyDescent="0.25">
      <c r="A2" s="61"/>
      <c r="B2" s="72" t="s">
        <v>482</v>
      </c>
      <c r="C2" s="93" t="s">
        <v>312</v>
      </c>
      <c r="D2" s="61"/>
      <c r="E2" s="72" t="s">
        <v>483</v>
      </c>
      <c r="F2" s="117">
        <f>IFERROR(VLOOKUP(C2,Projects_Table,13,FALSE()),0)</f>
        <v>18500</v>
      </c>
    </row>
    <row r="3" spans="1:6" ht="15" customHeight="1" x14ac:dyDescent="0.25">
      <c r="A3" s="61"/>
      <c r="B3" s="72" t="s">
        <v>484</v>
      </c>
      <c r="C3" s="86" t="str">
        <f>IFERROR(VLOOKUP(C2,Projects_Table,2,FALSE()),"")</f>
        <v>Anastasiou</v>
      </c>
      <c r="D3" s="61"/>
      <c r="E3" s="61"/>
      <c r="F3" s="61"/>
    </row>
    <row r="4" spans="1:6" ht="15" customHeight="1" x14ac:dyDescent="0.25">
      <c r="A4" s="61"/>
      <c r="B4" s="72" t="s">
        <v>485</v>
      </c>
      <c r="C4" s="86" t="str">
        <f>IFERROR(VLOOKUP(C2,Projects_Table,3,FALSE()),"")</f>
        <v>Villa Kitchen</v>
      </c>
      <c r="D4" s="61"/>
      <c r="E4" s="61"/>
      <c r="F4" s="61"/>
    </row>
    <row r="5" spans="1:6" ht="15" customHeight="1" x14ac:dyDescent="0.25">
      <c r="A5" s="61"/>
      <c r="B5" s="72" t="s">
        <v>486</v>
      </c>
      <c r="C5" s="86" t="str">
        <f>IFERROR(VLOOKUP(C2,Projects_Table,4,FALSE()),"")</f>
        <v>Kitchens</v>
      </c>
      <c r="D5" s="61"/>
      <c r="E5" s="61"/>
      <c r="F5" s="61"/>
    </row>
    <row r="6" spans="1:6" x14ac:dyDescent="0.25">
      <c r="A6" s="61"/>
      <c r="B6" s="61"/>
      <c r="C6" s="61"/>
      <c r="D6" s="61"/>
      <c r="E6" s="61"/>
      <c r="F6" s="61"/>
    </row>
    <row r="7" spans="1:6" ht="15" customHeight="1" x14ac:dyDescent="0.25">
      <c r="A7" s="111" t="s">
        <v>487</v>
      </c>
      <c r="B7" s="111"/>
      <c r="C7" s="111"/>
      <c r="D7" s="111"/>
      <c r="E7" s="111"/>
      <c r="F7" s="111"/>
    </row>
    <row r="8" spans="1:6" ht="15" customHeight="1" x14ac:dyDescent="0.25">
      <c r="A8" s="112" t="s">
        <v>488</v>
      </c>
      <c r="B8" s="112" t="s">
        <v>489</v>
      </c>
      <c r="C8" s="112" t="s">
        <v>490</v>
      </c>
      <c r="D8" s="112" t="s">
        <v>491</v>
      </c>
      <c r="E8" s="112" t="s">
        <v>492</v>
      </c>
      <c r="F8" s="112" t="s">
        <v>493</v>
      </c>
    </row>
    <row r="9" spans="1:6" ht="15" customHeight="1" x14ac:dyDescent="0.25">
      <c r="A9" s="77">
        <v>1</v>
      </c>
      <c r="B9" s="76" t="s">
        <v>494</v>
      </c>
      <c r="C9" s="78">
        <v>35</v>
      </c>
      <c r="D9" s="93" t="s">
        <v>495</v>
      </c>
      <c r="E9" s="79">
        <v>12.5</v>
      </c>
      <c r="F9" s="90">
        <f t="shared" ref="F9:F20" si="0">C9*E9</f>
        <v>437.5</v>
      </c>
    </row>
    <row r="10" spans="1:6" ht="15" customHeight="1" x14ac:dyDescent="0.25">
      <c r="A10" s="77">
        <v>2</v>
      </c>
      <c r="B10" s="76" t="s">
        <v>496</v>
      </c>
      <c r="C10" s="78">
        <v>6</v>
      </c>
      <c r="D10" s="93" t="s">
        <v>495</v>
      </c>
      <c r="E10" s="79">
        <v>16.399999999999999</v>
      </c>
      <c r="F10" s="90">
        <f t="shared" si="0"/>
        <v>98.399999999999991</v>
      </c>
    </row>
    <row r="11" spans="1:6" ht="15" customHeight="1" x14ac:dyDescent="0.25">
      <c r="A11" s="77">
        <v>3</v>
      </c>
      <c r="B11" s="76" t="s">
        <v>497</v>
      </c>
      <c r="C11" s="78">
        <v>15</v>
      </c>
      <c r="D11" s="93" t="s">
        <v>495</v>
      </c>
      <c r="E11" s="79">
        <v>10.9</v>
      </c>
      <c r="F11" s="90">
        <f t="shared" si="0"/>
        <v>163.5</v>
      </c>
    </row>
    <row r="12" spans="1:6" ht="15" customHeight="1" x14ac:dyDescent="0.25">
      <c r="A12" s="77">
        <v>4</v>
      </c>
      <c r="B12" s="76" t="s">
        <v>498</v>
      </c>
      <c r="C12" s="78">
        <v>8</v>
      </c>
      <c r="D12" s="93" t="s">
        <v>495</v>
      </c>
      <c r="E12" s="79">
        <v>24</v>
      </c>
      <c r="F12" s="90">
        <f t="shared" si="0"/>
        <v>192</v>
      </c>
    </row>
    <row r="13" spans="1:6" ht="15" customHeight="1" x14ac:dyDescent="0.25">
      <c r="A13" s="77">
        <v>5</v>
      </c>
      <c r="B13" s="76" t="s">
        <v>499</v>
      </c>
      <c r="C13" s="78">
        <v>0.5</v>
      </c>
      <c r="D13" s="93" t="s">
        <v>500</v>
      </c>
      <c r="E13" s="79">
        <v>1200</v>
      </c>
      <c r="F13" s="90">
        <f t="shared" si="0"/>
        <v>600</v>
      </c>
    </row>
    <row r="14" spans="1:6" ht="15" customHeight="1" x14ac:dyDescent="0.25">
      <c r="A14" s="77">
        <v>6</v>
      </c>
      <c r="B14" s="76" t="s">
        <v>501</v>
      </c>
      <c r="C14" s="78">
        <v>3</v>
      </c>
      <c r="D14" s="93" t="s">
        <v>502</v>
      </c>
      <c r="E14" s="79">
        <v>22</v>
      </c>
      <c r="F14" s="90">
        <f t="shared" si="0"/>
        <v>66</v>
      </c>
    </row>
    <row r="15" spans="1:6" ht="15" customHeight="1" x14ac:dyDescent="0.25">
      <c r="A15" s="77">
        <v>7</v>
      </c>
      <c r="B15" s="76" t="s">
        <v>503</v>
      </c>
      <c r="C15" s="78">
        <v>60</v>
      </c>
      <c r="D15" s="93" t="s">
        <v>504</v>
      </c>
      <c r="E15" s="79">
        <v>0.45</v>
      </c>
      <c r="F15" s="90">
        <f t="shared" si="0"/>
        <v>27</v>
      </c>
    </row>
    <row r="16" spans="1:6" ht="15" customHeight="1" x14ac:dyDescent="0.25">
      <c r="A16" s="77">
        <v>8</v>
      </c>
      <c r="B16" s="76" t="s">
        <v>505</v>
      </c>
      <c r="C16" s="78">
        <v>30</v>
      </c>
      <c r="D16" s="93" t="s">
        <v>506</v>
      </c>
      <c r="E16" s="79">
        <v>4.9000000000000004</v>
      </c>
      <c r="F16" s="90">
        <f t="shared" si="0"/>
        <v>147</v>
      </c>
    </row>
    <row r="17" spans="1:6" ht="15" customHeight="1" x14ac:dyDescent="0.25">
      <c r="A17" s="77">
        <v>9</v>
      </c>
      <c r="B17" s="76" t="s">
        <v>507</v>
      </c>
      <c r="C17" s="78">
        <v>6</v>
      </c>
      <c r="D17" s="93" t="s">
        <v>508</v>
      </c>
      <c r="E17" s="79">
        <v>44</v>
      </c>
      <c r="F17" s="90">
        <f t="shared" si="0"/>
        <v>264</v>
      </c>
    </row>
    <row r="18" spans="1:6" ht="15" customHeight="1" x14ac:dyDescent="0.25">
      <c r="A18" s="77">
        <v>10</v>
      </c>
      <c r="B18" s="76" t="s">
        <v>509</v>
      </c>
      <c r="C18" s="78">
        <v>10</v>
      </c>
      <c r="D18" s="93" t="s">
        <v>506</v>
      </c>
      <c r="E18" s="79">
        <v>3.2</v>
      </c>
      <c r="F18" s="90">
        <f t="shared" si="0"/>
        <v>32</v>
      </c>
    </row>
    <row r="19" spans="1:6" ht="15" customHeight="1" x14ac:dyDescent="0.25">
      <c r="A19" s="77">
        <v>11</v>
      </c>
      <c r="B19" s="76" t="s">
        <v>510</v>
      </c>
      <c r="C19" s="78">
        <v>2</v>
      </c>
      <c r="D19" s="93" t="s">
        <v>511</v>
      </c>
      <c r="E19" s="79">
        <v>22</v>
      </c>
      <c r="F19" s="90">
        <f t="shared" si="0"/>
        <v>44</v>
      </c>
    </row>
    <row r="20" spans="1:6" ht="15" customHeight="1" x14ac:dyDescent="0.25">
      <c r="A20" s="77">
        <v>12</v>
      </c>
      <c r="B20" s="76" t="s">
        <v>512</v>
      </c>
      <c r="C20" s="78">
        <v>1</v>
      </c>
      <c r="D20" s="93" t="s">
        <v>513</v>
      </c>
      <c r="E20" s="79">
        <v>45</v>
      </c>
      <c r="F20" s="90">
        <f t="shared" si="0"/>
        <v>45</v>
      </c>
    </row>
    <row r="21" spans="1:6" ht="15" customHeight="1" x14ac:dyDescent="0.25">
      <c r="A21" s="61"/>
      <c r="B21" s="72" t="s">
        <v>514</v>
      </c>
      <c r="C21" s="61"/>
      <c r="D21" s="61"/>
      <c r="E21" s="61"/>
      <c r="F21" s="119">
        <f>SUM(F9:F20)</f>
        <v>2116.4</v>
      </c>
    </row>
    <row r="22" spans="1:6" ht="15" customHeight="1" x14ac:dyDescent="0.25">
      <c r="A22" s="61"/>
      <c r="B22" s="72" t="s">
        <v>515</v>
      </c>
      <c r="C22" s="61"/>
      <c r="D22" s="61"/>
      <c r="E22" s="118">
        <f>Waste_Pct</f>
        <v>0.08</v>
      </c>
      <c r="F22" s="90">
        <f>F21*E22</f>
        <v>169.31200000000001</v>
      </c>
    </row>
    <row r="23" spans="1:6" ht="15" customHeight="1" x14ac:dyDescent="0.25">
      <c r="A23" s="61"/>
      <c r="B23" s="113" t="s">
        <v>516</v>
      </c>
      <c r="C23" s="61"/>
      <c r="D23" s="61"/>
      <c r="E23" s="61"/>
      <c r="F23" s="120">
        <f>F21+F22</f>
        <v>2285.712</v>
      </c>
    </row>
    <row r="24" spans="1:6" x14ac:dyDescent="0.25">
      <c r="A24" s="61"/>
      <c r="B24" s="61"/>
      <c r="C24" s="61"/>
      <c r="D24" s="61"/>
      <c r="E24" s="61"/>
      <c r="F24" s="61"/>
    </row>
    <row r="25" spans="1:6" ht="15" customHeight="1" x14ac:dyDescent="0.25">
      <c r="A25" s="111" t="s">
        <v>517</v>
      </c>
      <c r="B25" s="111"/>
      <c r="C25" s="111"/>
      <c r="D25" s="111"/>
      <c r="E25" s="111"/>
      <c r="F25" s="111"/>
    </row>
    <row r="26" spans="1:6" ht="15" customHeight="1" x14ac:dyDescent="0.25">
      <c r="A26" s="112" t="s">
        <v>488</v>
      </c>
      <c r="B26" s="112" t="s">
        <v>518</v>
      </c>
      <c r="C26" s="112" t="s">
        <v>519</v>
      </c>
      <c r="D26" s="112" t="s">
        <v>520</v>
      </c>
      <c r="E26" s="112" t="s">
        <v>521</v>
      </c>
      <c r="F26" s="112" t="s">
        <v>522</v>
      </c>
    </row>
    <row r="27" spans="1:6" ht="15" customHeight="1" x14ac:dyDescent="0.25">
      <c r="A27" s="77">
        <v>1</v>
      </c>
      <c r="B27" s="76" t="s">
        <v>382</v>
      </c>
      <c r="C27" s="78">
        <v>8</v>
      </c>
      <c r="D27" s="77" t="s">
        <v>382</v>
      </c>
      <c r="E27" s="89">
        <f>Rate_Design</f>
        <v>22</v>
      </c>
      <c r="F27" s="90">
        <f t="shared" ref="F27:F37" si="1">C27*E27</f>
        <v>176</v>
      </c>
    </row>
    <row r="28" spans="1:6" ht="15" customHeight="1" x14ac:dyDescent="0.25">
      <c r="A28" s="77">
        <v>2</v>
      </c>
      <c r="B28" s="76" t="s">
        <v>523</v>
      </c>
      <c r="C28" s="78">
        <v>3</v>
      </c>
      <c r="D28" s="77" t="s">
        <v>382</v>
      </c>
      <c r="E28" s="89">
        <f>Rate_Measuring</f>
        <v>18</v>
      </c>
      <c r="F28" s="90">
        <f t="shared" si="1"/>
        <v>54</v>
      </c>
    </row>
    <row r="29" spans="1:6" ht="15" customHeight="1" x14ac:dyDescent="0.25">
      <c r="A29" s="77">
        <v>3</v>
      </c>
      <c r="B29" s="76" t="s">
        <v>470</v>
      </c>
      <c r="C29" s="78">
        <v>6</v>
      </c>
      <c r="D29" s="77" t="s">
        <v>470</v>
      </c>
      <c r="E29" s="89">
        <f>Rate_CNC</f>
        <v>20</v>
      </c>
      <c r="F29" s="90">
        <f t="shared" si="1"/>
        <v>120</v>
      </c>
    </row>
    <row r="30" spans="1:6" ht="15" customHeight="1" x14ac:dyDescent="0.25">
      <c r="A30" s="77">
        <v>4</v>
      </c>
      <c r="B30" s="76" t="s">
        <v>469</v>
      </c>
      <c r="C30" s="78">
        <v>5</v>
      </c>
      <c r="D30" s="77" t="s">
        <v>469</v>
      </c>
      <c r="E30" s="89">
        <f>Rate_Cutting</f>
        <v>16</v>
      </c>
      <c r="F30" s="90">
        <f t="shared" si="1"/>
        <v>80</v>
      </c>
    </row>
    <row r="31" spans="1:6" ht="15" customHeight="1" x14ac:dyDescent="0.25">
      <c r="A31" s="77">
        <v>5</v>
      </c>
      <c r="B31" s="76" t="s">
        <v>471</v>
      </c>
      <c r="C31" s="78">
        <v>4</v>
      </c>
      <c r="D31" s="77" t="s">
        <v>471</v>
      </c>
      <c r="E31" s="89">
        <f>Rate_EdgeBand</f>
        <v>16</v>
      </c>
      <c r="F31" s="90">
        <f t="shared" si="1"/>
        <v>64</v>
      </c>
    </row>
    <row r="32" spans="1:6" ht="15" customHeight="1" x14ac:dyDescent="0.25">
      <c r="A32" s="77">
        <v>6</v>
      </c>
      <c r="B32" s="76" t="s">
        <v>472</v>
      </c>
      <c r="C32" s="78">
        <v>18</v>
      </c>
      <c r="D32" s="77" t="s">
        <v>472</v>
      </c>
      <c r="E32" s="89">
        <f>Rate_Assembly</f>
        <v>17</v>
      </c>
      <c r="F32" s="90">
        <f t="shared" si="1"/>
        <v>306</v>
      </c>
    </row>
    <row r="33" spans="1:6" ht="15" customHeight="1" x14ac:dyDescent="0.25">
      <c r="A33" s="77">
        <v>7</v>
      </c>
      <c r="B33" s="76" t="s">
        <v>473</v>
      </c>
      <c r="C33" s="78">
        <v>5</v>
      </c>
      <c r="D33" s="77" t="s">
        <v>473</v>
      </c>
      <c r="E33" s="89">
        <f>Rate_Sanding</f>
        <v>15</v>
      </c>
      <c r="F33" s="90">
        <f t="shared" si="1"/>
        <v>75</v>
      </c>
    </row>
    <row r="34" spans="1:6" ht="15" customHeight="1" x14ac:dyDescent="0.25">
      <c r="A34" s="77">
        <v>8</v>
      </c>
      <c r="B34" s="76" t="s">
        <v>524</v>
      </c>
      <c r="C34" s="78">
        <v>14</v>
      </c>
      <c r="D34" s="77" t="s">
        <v>475</v>
      </c>
      <c r="E34" s="89">
        <f>Rate_Paint</f>
        <v>19</v>
      </c>
      <c r="F34" s="90">
        <f t="shared" si="1"/>
        <v>266</v>
      </c>
    </row>
    <row r="35" spans="1:6" ht="15" customHeight="1" x14ac:dyDescent="0.25">
      <c r="A35" s="77">
        <v>9</v>
      </c>
      <c r="B35" s="76" t="s">
        <v>525</v>
      </c>
      <c r="C35" s="78">
        <v>3</v>
      </c>
      <c r="D35" s="77" t="s">
        <v>476</v>
      </c>
      <c r="E35" s="89">
        <f>Rate_Loading</f>
        <v>14</v>
      </c>
      <c r="F35" s="90">
        <f t="shared" si="1"/>
        <v>42</v>
      </c>
    </row>
    <row r="36" spans="1:6" ht="15" customHeight="1" x14ac:dyDescent="0.25">
      <c r="A36" s="77">
        <v>10</v>
      </c>
      <c r="B36" s="76" t="s">
        <v>478</v>
      </c>
      <c r="C36" s="78">
        <v>16</v>
      </c>
      <c r="D36" s="77" t="s">
        <v>478</v>
      </c>
      <c r="E36" s="89">
        <f>Rate_Install</f>
        <v>20</v>
      </c>
      <c r="F36" s="90">
        <f t="shared" si="1"/>
        <v>320</v>
      </c>
    </row>
    <row r="37" spans="1:6" ht="15" customHeight="1" x14ac:dyDescent="0.25">
      <c r="A37" s="77">
        <v>11</v>
      </c>
      <c r="B37" s="76" t="s">
        <v>526</v>
      </c>
      <c r="C37" s="78">
        <v>4</v>
      </c>
      <c r="D37" s="77" t="s">
        <v>527</v>
      </c>
      <c r="E37" s="89">
        <f>Rate_Supervisor</f>
        <v>28</v>
      </c>
      <c r="F37" s="90">
        <f t="shared" si="1"/>
        <v>112</v>
      </c>
    </row>
    <row r="38" spans="1:6" ht="15" customHeight="1" x14ac:dyDescent="0.25">
      <c r="A38" s="61"/>
      <c r="B38" s="113" t="s">
        <v>528</v>
      </c>
      <c r="C38" s="121">
        <f>SUM(C27:C37)</f>
        <v>86</v>
      </c>
      <c r="D38" s="61"/>
      <c r="E38" s="61"/>
      <c r="F38" s="120">
        <f>SUM(F27:F37)</f>
        <v>1615</v>
      </c>
    </row>
    <row r="39" spans="1:6" x14ac:dyDescent="0.25">
      <c r="A39" s="61"/>
      <c r="B39" s="61"/>
      <c r="C39" s="61"/>
      <c r="D39" s="61"/>
      <c r="E39" s="61"/>
      <c r="F39" s="61"/>
    </row>
    <row r="40" spans="1:6" ht="15" customHeight="1" x14ac:dyDescent="0.25">
      <c r="A40" s="111" t="s">
        <v>529</v>
      </c>
      <c r="B40" s="111"/>
      <c r="C40" s="111"/>
      <c r="D40" s="111"/>
      <c r="E40" s="111"/>
      <c r="F40" s="111"/>
    </row>
    <row r="41" spans="1:6" ht="15" customHeight="1" x14ac:dyDescent="0.25">
      <c r="A41" s="112" t="s">
        <v>488</v>
      </c>
      <c r="B41" s="112" t="s">
        <v>489</v>
      </c>
      <c r="C41" s="112" t="s">
        <v>530</v>
      </c>
      <c r="D41" s="112" t="s">
        <v>491</v>
      </c>
      <c r="E41" s="112" t="s">
        <v>492</v>
      </c>
      <c r="F41" s="112" t="s">
        <v>522</v>
      </c>
    </row>
    <row r="42" spans="1:6" ht="15" customHeight="1" x14ac:dyDescent="0.25">
      <c r="A42" s="77">
        <v>1</v>
      </c>
      <c r="B42" s="76" t="s">
        <v>531</v>
      </c>
      <c r="C42" s="78">
        <v>40</v>
      </c>
      <c r="D42" s="77" t="s">
        <v>532</v>
      </c>
      <c r="E42" s="89">
        <f>Fuel_Cost_Per_Km</f>
        <v>0.18</v>
      </c>
      <c r="F42" s="90">
        <f t="shared" ref="F42:F47" si="2">C42*E42</f>
        <v>7.1999999999999993</v>
      </c>
    </row>
    <row r="43" spans="1:6" ht="15" customHeight="1" x14ac:dyDescent="0.25">
      <c r="A43" s="77">
        <v>2</v>
      </c>
      <c r="B43" s="76" t="s">
        <v>533</v>
      </c>
      <c r="C43" s="78">
        <v>1</v>
      </c>
      <c r="D43" s="77" t="s">
        <v>534</v>
      </c>
      <c r="E43" s="89">
        <f>Delivery_Base_Fee</f>
        <v>60</v>
      </c>
      <c r="F43" s="90">
        <f t="shared" si="2"/>
        <v>60</v>
      </c>
    </row>
    <row r="44" spans="1:6" ht="15" customHeight="1" x14ac:dyDescent="0.25">
      <c r="A44" s="77">
        <v>3</v>
      </c>
      <c r="B44" s="76" t="s">
        <v>535</v>
      </c>
      <c r="C44" s="78">
        <v>1</v>
      </c>
      <c r="D44" s="77" t="s">
        <v>534</v>
      </c>
      <c r="E44" s="89">
        <f>Install_Base_Fee</f>
        <v>80</v>
      </c>
      <c r="F44" s="90">
        <f t="shared" si="2"/>
        <v>80</v>
      </c>
    </row>
    <row r="45" spans="1:6" ht="15" customHeight="1" x14ac:dyDescent="0.25">
      <c r="A45" s="77">
        <v>4</v>
      </c>
      <c r="B45" s="76" t="s">
        <v>536</v>
      </c>
      <c r="C45" s="78">
        <v>1</v>
      </c>
      <c r="D45" s="77" t="s">
        <v>513</v>
      </c>
      <c r="E45" s="79">
        <v>80</v>
      </c>
      <c r="F45" s="90">
        <f t="shared" si="2"/>
        <v>80</v>
      </c>
    </row>
    <row r="46" spans="1:6" ht="15" customHeight="1" x14ac:dyDescent="0.25">
      <c r="A46" s="77">
        <v>5</v>
      </c>
      <c r="B46" s="76" t="s">
        <v>537</v>
      </c>
      <c r="C46" s="78">
        <v>1</v>
      </c>
      <c r="D46" s="77" t="s">
        <v>534</v>
      </c>
      <c r="E46" s="79">
        <v>150</v>
      </c>
      <c r="F46" s="90">
        <f t="shared" si="2"/>
        <v>150</v>
      </c>
    </row>
    <row r="47" spans="1:6" ht="15" customHeight="1" x14ac:dyDescent="0.25">
      <c r="A47" s="77">
        <v>6</v>
      </c>
      <c r="B47" s="76" t="s">
        <v>538</v>
      </c>
      <c r="C47" s="78">
        <v>1</v>
      </c>
      <c r="D47" s="77" t="s">
        <v>513</v>
      </c>
      <c r="E47" s="79">
        <v>30</v>
      </c>
      <c r="F47" s="90">
        <f t="shared" si="2"/>
        <v>30</v>
      </c>
    </row>
    <row r="48" spans="1:6" ht="15" customHeight="1" x14ac:dyDescent="0.25">
      <c r="A48" s="61"/>
      <c r="B48" s="113" t="s">
        <v>539</v>
      </c>
      <c r="C48" s="61"/>
      <c r="D48" s="61"/>
      <c r="E48" s="61"/>
      <c r="F48" s="120">
        <f>SUM(F42:F47)</f>
        <v>407.2</v>
      </c>
    </row>
    <row r="49" spans="1:6" x14ac:dyDescent="0.25">
      <c r="A49" s="61"/>
      <c r="B49" s="61"/>
      <c r="C49" s="61"/>
      <c r="D49" s="61"/>
      <c r="E49" s="61"/>
      <c r="F49" s="61"/>
    </row>
    <row r="50" spans="1:6" ht="15" customHeight="1" x14ac:dyDescent="0.25">
      <c r="A50" s="111" t="s">
        <v>540</v>
      </c>
      <c r="B50" s="111"/>
      <c r="C50" s="111"/>
      <c r="D50" s="111"/>
      <c r="E50" s="111"/>
      <c r="F50" s="111"/>
    </row>
    <row r="51" spans="1:6" ht="15" customHeight="1" x14ac:dyDescent="0.25">
      <c r="A51" s="61"/>
      <c r="B51" s="114" t="s">
        <v>541</v>
      </c>
      <c r="C51" s="61"/>
      <c r="D51" s="61"/>
      <c r="E51" s="61"/>
      <c r="F51" s="90">
        <f>F23</f>
        <v>2285.712</v>
      </c>
    </row>
    <row r="52" spans="1:6" ht="15" customHeight="1" x14ac:dyDescent="0.25">
      <c r="A52" s="61"/>
      <c r="B52" s="114" t="s">
        <v>542</v>
      </c>
      <c r="C52" s="61"/>
      <c r="D52" s="61"/>
      <c r="E52" s="61"/>
      <c r="F52" s="90">
        <f>F38</f>
        <v>1615</v>
      </c>
    </row>
    <row r="53" spans="1:6" ht="15" customHeight="1" x14ac:dyDescent="0.25">
      <c r="A53" s="61"/>
      <c r="B53" s="114" t="s">
        <v>543</v>
      </c>
      <c r="C53" s="61"/>
      <c r="D53" s="61"/>
      <c r="E53" s="61"/>
      <c r="F53" s="90">
        <f>F48</f>
        <v>407.2</v>
      </c>
    </row>
    <row r="54" spans="1:6" ht="15" customHeight="1" x14ac:dyDescent="0.25">
      <c r="A54" s="61"/>
      <c r="B54" s="115" t="s">
        <v>544</v>
      </c>
      <c r="C54" s="61"/>
      <c r="D54" s="61"/>
      <c r="E54" s="61"/>
      <c r="F54" s="120">
        <f>F23+F38+F48</f>
        <v>4307.9120000000003</v>
      </c>
    </row>
    <row r="55" spans="1:6" ht="15" customHeight="1" x14ac:dyDescent="0.25">
      <c r="A55" s="61"/>
      <c r="B55" s="116" t="s">
        <v>545</v>
      </c>
      <c r="C55" s="61"/>
      <c r="D55" s="61"/>
      <c r="E55" s="118">
        <f>Overhead_Pct</f>
        <v>0.15</v>
      </c>
      <c r="F55" s="90">
        <f>F54*E55</f>
        <v>646.18680000000006</v>
      </c>
    </row>
    <row r="56" spans="1:6" ht="15" customHeight="1" x14ac:dyDescent="0.25">
      <c r="A56" s="61"/>
      <c r="B56" s="115" t="s">
        <v>546</v>
      </c>
      <c r="C56" s="61"/>
      <c r="D56" s="61"/>
      <c r="E56" s="61"/>
      <c r="F56" s="120">
        <f>F54+F55</f>
        <v>4954.0988000000007</v>
      </c>
    </row>
    <row r="57" spans="1:6" x14ac:dyDescent="0.25">
      <c r="A57" s="61"/>
      <c r="B57" s="61"/>
      <c r="C57" s="61"/>
      <c r="D57" s="61"/>
      <c r="E57" s="61"/>
      <c r="F57" s="61"/>
    </row>
    <row r="58" spans="1:6" ht="26.25" customHeight="1" x14ac:dyDescent="0.25">
      <c r="A58" s="61"/>
      <c r="B58" s="115" t="s">
        <v>547</v>
      </c>
      <c r="C58" s="61"/>
      <c r="D58" s="61"/>
      <c r="E58" s="118">
        <f>Markup_Pct</f>
        <v>0.35</v>
      </c>
      <c r="F58" s="90">
        <f>F56*(1+E58)</f>
        <v>6688.0333800000017</v>
      </c>
    </row>
    <row r="59" spans="1:6" ht="15" customHeight="1" x14ac:dyDescent="0.25">
      <c r="A59" s="61"/>
      <c r="B59" s="116" t="s">
        <v>548</v>
      </c>
      <c r="C59" s="61"/>
      <c r="D59" s="61"/>
      <c r="E59" s="102">
        <v>0</v>
      </c>
      <c r="F59" s="90">
        <f>-F58*E59</f>
        <v>0</v>
      </c>
    </row>
    <row r="60" spans="1:6" ht="15" customHeight="1" x14ac:dyDescent="0.25">
      <c r="A60" s="61"/>
      <c r="B60" s="116" t="s">
        <v>549</v>
      </c>
      <c r="C60" s="61"/>
      <c r="D60" s="61"/>
      <c r="E60" s="61"/>
      <c r="F60" s="119">
        <f>F58+F59</f>
        <v>6688.0333800000017</v>
      </c>
    </row>
    <row r="61" spans="1:6" ht="15" customHeight="1" x14ac:dyDescent="0.25">
      <c r="A61" s="61"/>
      <c r="B61" s="116" t="s">
        <v>550</v>
      </c>
      <c r="C61" s="61"/>
      <c r="D61" s="61"/>
      <c r="E61" s="118">
        <f>VAT_Rate</f>
        <v>0.19</v>
      </c>
      <c r="F61" s="90">
        <f>F60*E61</f>
        <v>1270.7263422000003</v>
      </c>
    </row>
    <row r="62" spans="1:6" ht="17.25" customHeight="1" x14ac:dyDescent="0.25">
      <c r="A62" s="61"/>
      <c r="B62" s="80" t="s">
        <v>551</v>
      </c>
      <c r="C62" s="61"/>
      <c r="D62" s="61"/>
      <c r="E62" s="61"/>
      <c r="F62" s="91">
        <f>F60+F61</f>
        <v>7958.7597222000022</v>
      </c>
    </row>
    <row r="63" spans="1:6" x14ac:dyDescent="0.25">
      <c r="A63" s="61"/>
      <c r="B63" s="61"/>
      <c r="C63" s="61"/>
      <c r="D63" s="61"/>
      <c r="E63" s="61"/>
      <c r="F63" s="61"/>
    </row>
    <row r="64" spans="1:6" ht="15" customHeight="1" x14ac:dyDescent="0.25">
      <c r="A64" s="61"/>
      <c r="B64" s="72" t="s">
        <v>552</v>
      </c>
      <c r="C64" s="61"/>
      <c r="D64" s="61"/>
      <c r="E64" s="61"/>
      <c r="F64" s="122">
        <f>F2-F56</f>
        <v>13545.9012</v>
      </c>
    </row>
    <row r="65" spans="1:6" ht="15" customHeight="1" x14ac:dyDescent="0.25">
      <c r="A65" s="61"/>
      <c r="B65" s="72" t="s">
        <v>553</v>
      </c>
      <c r="C65" s="61"/>
      <c r="D65" s="61"/>
      <c r="E65" s="61"/>
      <c r="F65" s="123">
        <f>IFERROR((F2-F56)/F2,0)</f>
        <v>0.73221087567567567</v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5">
    <mergeCell ref="A1:F1"/>
    <mergeCell ref="A7:F7"/>
    <mergeCell ref="A25:F25"/>
    <mergeCell ref="A40:F40"/>
    <mergeCell ref="A50:F50"/>
  </mergeCells>
  <conditionalFormatting sqref="F65">
    <cfRule type="expression" dxfId="60" priority="2">
      <formula>F65&lt;Target_Margin_Pct</formula>
    </cfRule>
    <cfRule type="expression" dxfId="59" priority="3">
      <formula>F65&gt;=Target_Margin_Pct</formula>
    </cfRule>
  </conditionalFormatting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D7D31"/>
  </sheetPr>
  <dimension ref="A1:F53"/>
  <sheetViews>
    <sheetView zoomScaleNormal="100" workbookViewId="0">
      <selection sqref="A1:F1"/>
    </sheetView>
  </sheetViews>
  <sheetFormatPr defaultColWidth="8.7109375" defaultRowHeight="15" x14ac:dyDescent="0.25"/>
  <cols>
    <col min="1" max="1" width="4" customWidth="1"/>
    <col min="2" max="2" width="34" customWidth="1"/>
    <col min="3" max="4" width="14" customWidth="1"/>
    <col min="5" max="5" width="16" customWidth="1"/>
    <col min="6" max="6" width="20" customWidth="1"/>
  </cols>
  <sheetData>
    <row r="1" spans="1:6" ht="30" customHeight="1" x14ac:dyDescent="0.25">
      <c r="A1" s="71" t="s">
        <v>554</v>
      </c>
      <c r="B1" s="71"/>
      <c r="C1" s="71"/>
      <c r="D1" s="71"/>
      <c r="E1" s="71"/>
      <c r="F1" s="71"/>
    </row>
    <row r="2" spans="1:6" ht="15" customHeight="1" x14ac:dyDescent="0.25">
      <c r="A2" s="61"/>
      <c r="B2" s="75" t="s">
        <v>555</v>
      </c>
      <c r="C2" s="75"/>
      <c r="D2" s="75"/>
      <c r="E2" s="75"/>
      <c r="F2" s="75"/>
    </row>
    <row r="3" spans="1:6" ht="15" customHeight="1" x14ac:dyDescent="0.25">
      <c r="A3" s="61"/>
      <c r="B3" s="124" t="s">
        <v>556</v>
      </c>
      <c r="C3" s="78" t="s">
        <v>557</v>
      </c>
      <c r="D3" s="125"/>
      <c r="E3" s="61"/>
      <c r="F3" s="61"/>
    </row>
    <row r="4" spans="1:6" ht="15" customHeight="1" x14ac:dyDescent="0.25">
      <c r="A4" s="61"/>
      <c r="B4" s="124" t="s">
        <v>558</v>
      </c>
      <c r="C4" s="108">
        <v>600</v>
      </c>
      <c r="D4" s="125" t="s">
        <v>559</v>
      </c>
      <c r="E4" s="61"/>
      <c r="F4" s="61"/>
    </row>
    <row r="5" spans="1:6" ht="15" customHeight="1" x14ac:dyDescent="0.25">
      <c r="A5" s="61"/>
      <c r="B5" s="124" t="s">
        <v>560</v>
      </c>
      <c r="C5" s="108">
        <v>720</v>
      </c>
      <c r="D5" s="125" t="s">
        <v>559</v>
      </c>
      <c r="E5" s="61"/>
      <c r="F5" s="61"/>
    </row>
    <row r="6" spans="1:6" ht="15" customHeight="1" x14ac:dyDescent="0.25">
      <c r="A6" s="61"/>
      <c r="B6" s="124" t="s">
        <v>561</v>
      </c>
      <c r="C6" s="108">
        <v>560</v>
      </c>
      <c r="D6" s="125" t="s">
        <v>559</v>
      </c>
      <c r="E6" s="61"/>
      <c r="F6" s="61"/>
    </row>
    <row r="7" spans="1:6" ht="15" customHeight="1" x14ac:dyDescent="0.25">
      <c r="A7" s="61"/>
      <c r="B7" s="124" t="s">
        <v>562</v>
      </c>
      <c r="C7" s="108">
        <v>2</v>
      </c>
      <c r="D7" s="125" t="s">
        <v>506</v>
      </c>
      <c r="E7" s="61"/>
      <c r="F7" s="61"/>
    </row>
    <row r="8" spans="1:6" ht="15" customHeight="1" x14ac:dyDescent="0.25">
      <c r="A8" s="61"/>
      <c r="B8" s="124" t="s">
        <v>563</v>
      </c>
      <c r="C8" s="108">
        <v>0</v>
      </c>
      <c r="D8" s="125" t="s">
        <v>506</v>
      </c>
      <c r="E8" s="61"/>
      <c r="F8" s="61"/>
    </row>
    <row r="9" spans="1:6" ht="15" customHeight="1" x14ac:dyDescent="0.25">
      <c r="A9" s="61"/>
      <c r="B9" s="124" t="s">
        <v>564</v>
      </c>
      <c r="C9" s="108">
        <v>2</v>
      </c>
      <c r="D9" s="125" t="s">
        <v>506</v>
      </c>
      <c r="E9" s="61"/>
      <c r="F9" s="61"/>
    </row>
    <row r="10" spans="1:6" ht="15" customHeight="1" x14ac:dyDescent="0.25">
      <c r="A10" s="61"/>
      <c r="B10" s="124" t="s">
        <v>565</v>
      </c>
      <c r="C10" s="78" t="s">
        <v>566</v>
      </c>
      <c r="D10" s="125" t="s">
        <v>567</v>
      </c>
      <c r="E10" s="61"/>
      <c r="F10" s="61"/>
    </row>
    <row r="11" spans="1:6" ht="15" customHeight="1" x14ac:dyDescent="0.25">
      <c r="A11" s="61"/>
      <c r="B11" s="124" t="s">
        <v>568</v>
      </c>
      <c r="C11" s="108">
        <v>18</v>
      </c>
      <c r="D11" s="125" t="s">
        <v>559</v>
      </c>
      <c r="E11" s="61"/>
      <c r="F11" s="61"/>
    </row>
    <row r="12" spans="1:6" ht="15" customHeight="1" x14ac:dyDescent="0.25">
      <c r="A12" s="61"/>
      <c r="B12" s="124" t="s">
        <v>569</v>
      </c>
      <c r="C12" s="78" t="s">
        <v>570</v>
      </c>
      <c r="D12" s="125" t="s">
        <v>567</v>
      </c>
      <c r="E12" s="61"/>
      <c r="F12" s="61"/>
    </row>
    <row r="13" spans="1:6" ht="26.25" customHeight="1" x14ac:dyDescent="0.25">
      <c r="A13" s="61"/>
      <c r="B13" s="124" t="s">
        <v>571</v>
      </c>
      <c r="C13" s="108">
        <v>2</v>
      </c>
      <c r="D13" s="125" t="s">
        <v>572</v>
      </c>
      <c r="E13" s="61"/>
      <c r="F13" s="61"/>
    </row>
    <row r="14" spans="1:6" ht="15" customHeight="1" x14ac:dyDescent="0.25">
      <c r="A14" s="61"/>
      <c r="B14" s="124" t="s">
        <v>573</v>
      </c>
      <c r="C14" s="78">
        <v>1</v>
      </c>
      <c r="D14" s="125" t="s">
        <v>574</v>
      </c>
      <c r="E14" s="61"/>
      <c r="F14" s="61"/>
    </row>
    <row r="15" spans="1:6" ht="15" customHeight="1" x14ac:dyDescent="0.25">
      <c r="A15" s="61"/>
      <c r="B15" s="124" t="s">
        <v>575</v>
      </c>
      <c r="C15" s="78">
        <v>1.1000000000000001</v>
      </c>
      <c r="D15" s="125" t="s">
        <v>574</v>
      </c>
      <c r="E15" s="61"/>
      <c r="F15" s="61"/>
    </row>
    <row r="16" spans="1:6" ht="15" customHeight="1" x14ac:dyDescent="0.25">
      <c r="A16" s="61"/>
      <c r="B16" s="124" t="s">
        <v>576</v>
      </c>
      <c r="C16" s="78" t="s">
        <v>577</v>
      </c>
      <c r="D16" s="125"/>
      <c r="E16" s="61"/>
      <c r="F16" s="61"/>
    </row>
    <row r="17" spans="1:6" x14ac:dyDescent="0.25">
      <c r="A17" s="61"/>
      <c r="B17" s="61"/>
      <c r="C17" s="61"/>
      <c r="D17" s="61"/>
      <c r="E17" s="61"/>
      <c r="F17" s="61"/>
    </row>
    <row r="18" spans="1:6" ht="15" customHeight="1" x14ac:dyDescent="0.25">
      <c r="A18" s="61"/>
      <c r="B18" s="75" t="s">
        <v>578</v>
      </c>
      <c r="C18" s="75"/>
      <c r="D18" s="75"/>
      <c r="E18" s="75"/>
      <c r="F18" s="75"/>
    </row>
    <row r="19" spans="1:6" ht="15" customHeight="1" x14ac:dyDescent="0.25">
      <c r="A19" s="61"/>
      <c r="B19" s="124" t="s">
        <v>579</v>
      </c>
      <c r="C19" s="129">
        <f>2*C5*C6/1000000</f>
        <v>0.80640000000000001</v>
      </c>
      <c r="D19" s="126" t="s">
        <v>495</v>
      </c>
      <c r="E19" s="61"/>
      <c r="F19" s="61"/>
    </row>
    <row r="20" spans="1:6" ht="15" customHeight="1" x14ac:dyDescent="0.25">
      <c r="A20" s="61"/>
      <c r="B20" s="124" t="s">
        <v>580</v>
      </c>
      <c r="C20" s="129">
        <f>2*C4*C6/1000000</f>
        <v>0.67200000000000004</v>
      </c>
      <c r="D20" s="126" t="s">
        <v>495</v>
      </c>
      <c r="E20" s="61"/>
      <c r="F20" s="61"/>
    </row>
    <row r="21" spans="1:6" ht="15" customHeight="1" x14ac:dyDescent="0.25">
      <c r="A21" s="61"/>
      <c r="B21" s="124" t="s">
        <v>581</v>
      </c>
      <c r="C21" s="129">
        <f>C7*C4*C6/1000000</f>
        <v>0.67200000000000004</v>
      </c>
      <c r="D21" s="126" t="s">
        <v>495</v>
      </c>
      <c r="E21" s="61"/>
      <c r="F21" s="61"/>
    </row>
    <row r="22" spans="1:6" ht="15" customHeight="1" x14ac:dyDescent="0.25">
      <c r="A22" s="61"/>
      <c r="B22" s="124" t="s">
        <v>582</v>
      </c>
      <c r="C22" s="129">
        <f>C9*C4*C5/1000000</f>
        <v>0.86399999999999999</v>
      </c>
      <c r="D22" s="126" t="s">
        <v>495</v>
      </c>
      <c r="E22" s="61"/>
      <c r="F22" s="61"/>
    </row>
    <row r="23" spans="1:6" ht="15" customHeight="1" x14ac:dyDescent="0.25">
      <c r="A23" s="61"/>
      <c r="B23" s="124" t="s">
        <v>583</v>
      </c>
      <c r="C23" s="129">
        <f>C4*C5/1000000</f>
        <v>0.432</v>
      </c>
      <c r="D23" s="126" t="s">
        <v>495</v>
      </c>
      <c r="E23" s="61"/>
      <c r="F23" s="61"/>
    </row>
    <row r="24" spans="1:6" ht="15" customHeight="1" x14ac:dyDescent="0.25">
      <c r="A24" s="61"/>
      <c r="B24" s="124" t="s">
        <v>584</v>
      </c>
      <c r="C24" s="129">
        <f>C19+C20+C21+C22</f>
        <v>3.0144000000000002</v>
      </c>
      <c r="D24" s="126" t="s">
        <v>495</v>
      </c>
      <c r="E24" s="61"/>
      <c r="F24" s="61"/>
    </row>
    <row r="25" spans="1:6" ht="15" customHeight="1" x14ac:dyDescent="0.25">
      <c r="A25" s="61"/>
      <c r="B25" s="124" t="s">
        <v>585</v>
      </c>
      <c r="C25" s="129">
        <f>C23</f>
        <v>0.432</v>
      </c>
      <c r="D25" s="126" t="s">
        <v>495</v>
      </c>
      <c r="E25" s="61"/>
      <c r="F25" s="61"/>
    </row>
    <row r="26" spans="1:6" ht="15" customHeight="1" x14ac:dyDescent="0.25">
      <c r="A26" s="61"/>
      <c r="B26" s="124" t="s">
        <v>586</v>
      </c>
      <c r="C26" s="129">
        <f>(C9*2*(C4+C5)+C7*C4)/1000</f>
        <v>6.48</v>
      </c>
      <c r="D26" s="126" t="s">
        <v>504</v>
      </c>
      <c r="E26" s="61"/>
      <c r="F26" s="61"/>
    </row>
    <row r="27" spans="1:6" x14ac:dyDescent="0.25">
      <c r="A27" s="61"/>
      <c r="B27" s="61"/>
      <c r="C27" s="61"/>
      <c r="D27" s="61"/>
      <c r="E27" s="61"/>
      <c r="F27" s="61"/>
    </row>
    <row r="28" spans="1:6" ht="15" customHeight="1" x14ac:dyDescent="0.25">
      <c r="A28" s="61"/>
      <c r="B28" s="127" t="s">
        <v>587</v>
      </c>
      <c r="C28" s="61"/>
      <c r="D28" s="61"/>
      <c r="E28" s="61"/>
      <c r="F28" s="61"/>
    </row>
    <row r="29" spans="1:6" ht="15" customHeight="1" x14ac:dyDescent="0.25">
      <c r="A29" s="61"/>
      <c r="B29" s="124" t="s">
        <v>588</v>
      </c>
      <c r="C29" s="130">
        <f>IFERROR(VLOOKUP(C10,Materials_Table,6,FALSE())*C24,0)</f>
        <v>37.68</v>
      </c>
      <c r="D29" s="126" t="s">
        <v>589</v>
      </c>
      <c r="E29" s="61"/>
      <c r="F29" s="61"/>
    </row>
    <row r="30" spans="1:6" ht="15" customHeight="1" x14ac:dyDescent="0.25">
      <c r="A30" s="61"/>
      <c r="B30" s="124" t="s">
        <v>590</v>
      </c>
      <c r="C30" s="130">
        <f>IFERROR(VLOOKUP(C12,Materials_Table,6,FALSE())*C25,0)</f>
        <v>4.2336</v>
      </c>
      <c r="D30" s="126" t="s">
        <v>589</v>
      </c>
      <c r="E30" s="61"/>
      <c r="F30" s="61"/>
    </row>
    <row r="31" spans="1:6" ht="15" customHeight="1" x14ac:dyDescent="0.25">
      <c r="A31" s="61"/>
      <c r="B31" s="124" t="s">
        <v>591</v>
      </c>
      <c r="C31" s="130">
        <f>IFERROR(VLOOKUP("EB-22-WH",Materials_Table,6,FALSE())*C26,0)</f>
        <v>2.9160000000000004</v>
      </c>
      <c r="D31" s="126" t="s">
        <v>589</v>
      </c>
      <c r="E31" s="61"/>
      <c r="F31" s="61"/>
    </row>
    <row r="32" spans="1:6" ht="15" customHeight="1" x14ac:dyDescent="0.25">
      <c r="A32" s="61"/>
      <c r="B32" s="124" t="s">
        <v>592</v>
      </c>
      <c r="C32" s="130">
        <f>IF(C13=1,3.8,IF(C13=2,4.9,6.8))*C9*2</f>
        <v>19.600000000000001</v>
      </c>
      <c r="D32" s="126" t="s">
        <v>589</v>
      </c>
      <c r="E32" s="61"/>
      <c r="F32" s="61"/>
    </row>
    <row r="33" spans="1:6" ht="15" customHeight="1" x14ac:dyDescent="0.25">
      <c r="A33" s="61"/>
      <c r="B33" s="124" t="s">
        <v>593</v>
      </c>
      <c r="C33" s="130">
        <f>IF(C13=1,38,IF(C13=2,44,62))*C8</f>
        <v>0</v>
      </c>
      <c r="D33" s="126" t="s">
        <v>589</v>
      </c>
      <c r="E33" s="61"/>
      <c r="F33" s="61"/>
    </row>
    <row r="34" spans="1:6" ht="15" customHeight="1" x14ac:dyDescent="0.25">
      <c r="A34" s="61"/>
      <c r="B34" s="124" t="s">
        <v>594</v>
      </c>
      <c r="C34" s="130">
        <f>3.2*(C8+C9)</f>
        <v>6.4</v>
      </c>
      <c r="D34" s="126" t="s">
        <v>589</v>
      </c>
      <c r="E34" s="61"/>
      <c r="F34" s="61"/>
    </row>
    <row r="35" spans="1:6" ht="15" customHeight="1" x14ac:dyDescent="0.25">
      <c r="A35" s="61"/>
      <c r="B35" s="124" t="s">
        <v>595</v>
      </c>
      <c r="C35" s="130">
        <f>8</f>
        <v>8</v>
      </c>
      <c r="D35" s="126" t="s">
        <v>589</v>
      </c>
      <c r="E35" s="61"/>
      <c r="F35" s="61"/>
    </row>
    <row r="36" spans="1:6" ht="15" customHeight="1" x14ac:dyDescent="0.25">
      <c r="A36" s="61"/>
      <c r="B36" s="124" t="s">
        <v>596</v>
      </c>
      <c r="C36" s="131">
        <f>SUM(C29:C35)</f>
        <v>78.829599999999999</v>
      </c>
      <c r="D36" s="126" t="s">
        <v>589</v>
      </c>
      <c r="E36" s="61"/>
      <c r="F36" s="61"/>
    </row>
    <row r="37" spans="1:6" ht="15" customHeight="1" x14ac:dyDescent="0.25">
      <c r="A37" s="61"/>
      <c r="B37" s="124" t="s">
        <v>597</v>
      </c>
      <c r="C37" s="130">
        <f>C36*Waste_Pct</f>
        <v>6.306368</v>
      </c>
      <c r="D37" s="126" t="s">
        <v>589</v>
      </c>
      <c r="E37" s="61"/>
      <c r="F37" s="61"/>
    </row>
    <row r="38" spans="1:6" ht="15" customHeight="1" x14ac:dyDescent="0.25">
      <c r="A38" s="61"/>
      <c r="B38" s="124" t="s">
        <v>598</v>
      </c>
      <c r="C38" s="131">
        <f>C36+C37</f>
        <v>85.135968000000005</v>
      </c>
      <c r="D38" s="126" t="s">
        <v>589</v>
      </c>
      <c r="E38" s="61"/>
      <c r="F38" s="61"/>
    </row>
    <row r="39" spans="1:6" x14ac:dyDescent="0.25">
      <c r="A39" s="61"/>
      <c r="B39" s="61"/>
      <c r="C39" s="61"/>
      <c r="D39" s="61"/>
      <c r="E39" s="61"/>
      <c r="F39" s="61"/>
    </row>
    <row r="40" spans="1:6" ht="15" customHeight="1" x14ac:dyDescent="0.25">
      <c r="A40" s="61"/>
      <c r="B40" s="127" t="s">
        <v>599</v>
      </c>
      <c r="C40" s="61"/>
      <c r="D40" s="61"/>
      <c r="E40" s="61"/>
      <c r="F40" s="61"/>
    </row>
    <row r="41" spans="1:6" ht="15" customHeight="1" x14ac:dyDescent="0.25">
      <c r="A41" s="61"/>
      <c r="B41" s="124" t="s">
        <v>600</v>
      </c>
      <c r="C41" s="129">
        <f>(2+0.5*C9+0.3*C8+0.1*C7)*C14*C15</f>
        <v>3.5200000000000005</v>
      </c>
      <c r="D41" s="126" t="s">
        <v>601</v>
      </c>
      <c r="E41" s="61"/>
      <c r="F41" s="61"/>
    </row>
    <row r="42" spans="1:6" ht="15" customHeight="1" x14ac:dyDescent="0.25">
      <c r="A42" s="61"/>
      <c r="B42" s="124" t="s">
        <v>602</v>
      </c>
      <c r="C42" s="130">
        <f>(Rate_Cutting+Rate_Assembly+Rate_EdgeBand+Rate_Sanding+Rate_Paint)/5</f>
        <v>16.600000000000001</v>
      </c>
      <c r="D42" s="126" t="s">
        <v>603</v>
      </c>
      <c r="E42" s="61"/>
      <c r="F42" s="61"/>
    </row>
    <row r="43" spans="1:6" ht="15" customHeight="1" x14ac:dyDescent="0.25">
      <c r="A43" s="61"/>
      <c r="B43" s="124" t="s">
        <v>604</v>
      </c>
      <c r="C43" s="131">
        <f>C41*C42</f>
        <v>58.432000000000009</v>
      </c>
      <c r="D43" s="126" t="s">
        <v>589</v>
      </c>
      <c r="E43" s="61"/>
      <c r="F43" s="61"/>
    </row>
    <row r="44" spans="1:6" x14ac:dyDescent="0.25">
      <c r="A44" s="61"/>
      <c r="B44" s="61"/>
      <c r="C44" s="61"/>
      <c r="D44" s="61"/>
      <c r="E44" s="61"/>
      <c r="F44" s="61"/>
    </row>
    <row r="45" spans="1:6" ht="15" customHeight="1" x14ac:dyDescent="0.25">
      <c r="A45" s="61"/>
      <c r="B45" s="127" t="s">
        <v>605</v>
      </c>
      <c r="C45" s="61"/>
      <c r="D45" s="61"/>
      <c r="E45" s="61"/>
      <c r="F45" s="61"/>
    </row>
    <row r="46" spans="1:6" ht="15" customHeight="1" x14ac:dyDescent="0.25">
      <c r="A46" s="61"/>
      <c r="B46" s="124" t="s">
        <v>544</v>
      </c>
      <c r="C46" s="130">
        <f>C38+C43</f>
        <v>143.56796800000001</v>
      </c>
      <c r="D46" s="126" t="s">
        <v>589</v>
      </c>
      <c r="E46" s="61"/>
      <c r="F46" s="61"/>
    </row>
    <row r="47" spans="1:6" ht="15" customHeight="1" x14ac:dyDescent="0.25">
      <c r="A47" s="61"/>
      <c r="B47" s="124" t="s">
        <v>606</v>
      </c>
      <c r="C47" s="130">
        <f>C46*Overhead_Pct</f>
        <v>21.5351952</v>
      </c>
      <c r="D47" s="126" t="s">
        <v>589</v>
      </c>
      <c r="E47" s="61"/>
      <c r="F47" s="61"/>
    </row>
    <row r="48" spans="1:6" ht="15" customHeight="1" x14ac:dyDescent="0.25">
      <c r="A48" s="61"/>
      <c r="B48" s="124" t="s">
        <v>607</v>
      </c>
      <c r="C48" s="131">
        <f>C46+C47</f>
        <v>165.10316320000001</v>
      </c>
      <c r="D48" s="126" t="s">
        <v>589</v>
      </c>
      <c r="E48" s="61"/>
      <c r="F48" s="61"/>
    </row>
    <row r="49" spans="1:6" ht="26.25" customHeight="1" x14ac:dyDescent="0.25">
      <c r="A49" s="61"/>
      <c r="B49" s="124" t="s">
        <v>608</v>
      </c>
      <c r="C49" s="132">
        <f>C48*(1+Markup_Pct)</f>
        <v>222.88927032000004</v>
      </c>
      <c r="D49" s="126" t="s">
        <v>589</v>
      </c>
      <c r="E49" s="61"/>
      <c r="F49" s="61"/>
    </row>
    <row r="50" spans="1:6" ht="15" customHeight="1" x14ac:dyDescent="0.25">
      <c r="A50" s="61"/>
      <c r="B50" s="124" t="s">
        <v>609</v>
      </c>
      <c r="C50" s="132">
        <f>C49*(1+VAT_Rate)</f>
        <v>265.23823168080003</v>
      </c>
      <c r="D50" s="126" t="s">
        <v>589</v>
      </c>
      <c r="E50" s="61"/>
      <c r="F50" s="61"/>
    </row>
    <row r="51" spans="1:6" x14ac:dyDescent="0.25">
      <c r="A51" s="61"/>
      <c r="B51" s="61"/>
      <c r="C51" s="61"/>
      <c r="D51" s="61"/>
      <c r="E51" s="61"/>
      <c r="F51" s="61"/>
    </row>
    <row r="52" spans="1:6" x14ac:dyDescent="0.25">
      <c r="A52" s="61"/>
      <c r="B52" s="61"/>
      <c r="C52" s="61"/>
      <c r="D52" s="61"/>
      <c r="E52" s="61"/>
      <c r="F52" s="61"/>
    </row>
    <row r="53" spans="1:6" ht="39.75" customHeight="1" x14ac:dyDescent="0.25">
      <c r="A53" s="61"/>
      <c r="B53" s="128" t="s">
        <v>610</v>
      </c>
      <c r="C53" s="128"/>
      <c r="D53" s="128"/>
      <c r="E53" s="128"/>
      <c r="F53" s="128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4">
    <mergeCell ref="A1:F1"/>
    <mergeCell ref="B2:F2"/>
    <mergeCell ref="B18:F18"/>
    <mergeCell ref="B53:F53"/>
  </mergeCells>
  <dataValidations count="2">
    <dataValidation type="list" allowBlank="1" sqref="C3" xr:uid="{00000000-0002-0000-0900-000000000000}">
      <formula1>"Base cabinet,Wall cabinet,Tall unit,Wardrobe,Custom furniture"</formula1>
      <formula2>0</formula2>
    </dataValidation>
    <dataValidation type="list" allowBlank="1" sqref="C10 C12" xr:uid="{00000000-0002-0000-0900-000001000000}">
      <formula1>Materials_Codes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ED7D31"/>
  </sheetPr>
  <dimension ref="A1:P5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12" customWidth="1"/>
    <col min="3" max="3" width="30" customWidth="1"/>
    <col min="4" max="4" width="14" customWidth="1"/>
    <col min="5" max="7" width="10" customWidth="1"/>
    <col min="8" max="8" width="8" customWidth="1"/>
    <col min="9" max="9" width="10" customWidth="1"/>
    <col min="10" max="10" width="12" customWidth="1"/>
    <col min="11" max="11" width="14" customWidth="1"/>
    <col min="12" max="12" width="12" customWidth="1"/>
    <col min="13" max="13" width="14" customWidth="1"/>
    <col min="14" max="14" width="16" customWidth="1"/>
    <col min="15" max="15" width="14" customWidth="1"/>
    <col min="16" max="16" width="20" customWidth="1"/>
  </cols>
  <sheetData>
    <row r="1" spans="1:16" ht="17.25" customHeight="1" x14ac:dyDescent="0.25">
      <c r="A1" s="60" t="s">
        <v>611</v>
      </c>
      <c r="B1" s="61"/>
      <c r="C1" s="61"/>
      <c r="D1" s="61"/>
      <c r="E1" s="61"/>
      <c r="F1" s="61"/>
      <c r="G1" s="61"/>
      <c r="H1" s="133" t="s">
        <v>612</v>
      </c>
      <c r="I1" s="61"/>
      <c r="J1" s="61"/>
      <c r="K1" s="62" t="s">
        <v>613</v>
      </c>
      <c r="L1" s="136">
        <f>COUNTA(B3:B502)</f>
        <v>14</v>
      </c>
      <c r="M1" s="61"/>
      <c r="N1" s="61"/>
      <c r="O1" s="61"/>
      <c r="P1" s="61"/>
    </row>
    <row r="2" spans="1:16" ht="27.75" customHeight="1" x14ac:dyDescent="0.25">
      <c r="A2" s="63" t="s">
        <v>614</v>
      </c>
      <c r="B2" s="63" t="s">
        <v>615</v>
      </c>
      <c r="C2" s="63" t="s">
        <v>616</v>
      </c>
      <c r="D2" s="63" t="s">
        <v>617</v>
      </c>
      <c r="E2" s="63" t="s">
        <v>618</v>
      </c>
      <c r="F2" s="63" t="s">
        <v>619</v>
      </c>
      <c r="G2" s="63" t="s">
        <v>620</v>
      </c>
      <c r="H2" s="63" t="s">
        <v>490</v>
      </c>
      <c r="I2" s="63" t="s">
        <v>621</v>
      </c>
      <c r="J2" s="63" t="s">
        <v>622</v>
      </c>
      <c r="K2" s="63" t="s">
        <v>623</v>
      </c>
      <c r="L2" s="63" t="s">
        <v>624</v>
      </c>
      <c r="M2" s="63" t="s">
        <v>625</v>
      </c>
      <c r="N2" s="63" t="s">
        <v>626</v>
      </c>
      <c r="O2" s="63" t="s">
        <v>627</v>
      </c>
      <c r="P2" s="63" t="s">
        <v>226</v>
      </c>
    </row>
    <row r="3" spans="1:16" ht="15" customHeight="1" x14ac:dyDescent="0.25">
      <c r="A3" s="61" t="s">
        <v>628</v>
      </c>
      <c r="B3" s="61" t="s">
        <v>629</v>
      </c>
      <c r="C3" s="61" t="s">
        <v>630</v>
      </c>
      <c r="D3" s="135" t="s">
        <v>566</v>
      </c>
      <c r="E3" s="64">
        <v>720</v>
      </c>
      <c r="F3" s="64">
        <v>560</v>
      </c>
      <c r="G3" s="64">
        <v>18</v>
      </c>
      <c r="H3" s="64">
        <v>4</v>
      </c>
      <c r="I3" s="137">
        <f t="shared" ref="I3:I66" si="0">IFERROR(IF(E3="","",E3*F3*H3/1000000),"")</f>
        <v>1.6128</v>
      </c>
      <c r="J3" s="137">
        <f t="shared" ref="J3:J66" si="1">IFERROR(IF(E3="","",(E3+F3)*H3/1000),"")</f>
        <v>5.12</v>
      </c>
      <c r="K3" s="138">
        <f t="shared" ref="K3:K66" si="2">IFERROR(IF(D3="","",VLOOKUP(D3,Materials_Table,6,FALSE())),"")</f>
        <v>12.5</v>
      </c>
      <c r="L3" s="138">
        <f t="shared" ref="L3:L66" si="3">IFERROR(IF(OR(I3="",K3=""),"",I3*K3),"")</f>
        <v>20.16</v>
      </c>
      <c r="M3" s="61" t="s">
        <v>631</v>
      </c>
      <c r="N3" s="61" t="s">
        <v>632</v>
      </c>
      <c r="O3" s="61" t="s">
        <v>320</v>
      </c>
      <c r="P3" s="61"/>
    </row>
    <row r="4" spans="1:16" ht="15" customHeight="1" x14ac:dyDescent="0.25">
      <c r="A4" s="61" t="s">
        <v>628</v>
      </c>
      <c r="B4" s="61" t="s">
        <v>633</v>
      </c>
      <c r="C4" s="61" t="s">
        <v>634</v>
      </c>
      <c r="D4" s="135" t="s">
        <v>566</v>
      </c>
      <c r="E4" s="64">
        <v>720</v>
      </c>
      <c r="F4" s="64">
        <v>560</v>
      </c>
      <c r="G4" s="64">
        <v>18</v>
      </c>
      <c r="H4" s="64">
        <v>4</v>
      </c>
      <c r="I4" s="137">
        <f t="shared" si="0"/>
        <v>1.6128</v>
      </c>
      <c r="J4" s="137">
        <f t="shared" si="1"/>
        <v>5.12</v>
      </c>
      <c r="K4" s="138">
        <f t="shared" si="2"/>
        <v>12.5</v>
      </c>
      <c r="L4" s="138">
        <f t="shared" si="3"/>
        <v>20.16</v>
      </c>
      <c r="M4" s="61" t="s">
        <v>631</v>
      </c>
      <c r="N4" s="61" t="s">
        <v>632</v>
      </c>
      <c r="O4" s="61" t="s">
        <v>320</v>
      </c>
      <c r="P4" s="61"/>
    </row>
    <row r="5" spans="1:16" ht="15" customHeight="1" x14ac:dyDescent="0.25">
      <c r="A5" s="61" t="s">
        <v>628</v>
      </c>
      <c r="B5" s="61" t="s">
        <v>635</v>
      </c>
      <c r="C5" s="61" t="s">
        <v>636</v>
      </c>
      <c r="D5" s="135" t="s">
        <v>566</v>
      </c>
      <c r="E5" s="64">
        <v>764</v>
      </c>
      <c r="F5" s="64">
        <v>560</v>
      </c>
      <c r="G5" s="64">
        <v>18</v>
      </c>
      <c r="H5" s="64">
        <v>4</v>
      </c>
      <c r="I5" s="137">
        <f t="shared" si="0"/>
        <v>1.71136</v>
      </c>
      <c r="J5" s="137">
        <f t="shared" si="1"/>
        <v>5.2960000000000003</v>
      </c>
      <c r="K5" s="138">
        <f t="shared" si="2"/>
        <v>12.5</v>
      </c>
      <c r="L5" s="138">
        <f t="shared" si="3"/>
        <v>21.391999999999999</v>
      </c>
      <c r="M5" s="61" t="s">
        <v>637</v>
      </c>
      <c r="N5" s="61" t="s">
        <v>632</v>
      </c>
      <c r="O5" s="61" t="s">
        <v>320</v>
      </c>
      <c r="P5" s="61"/>
    </row>
    <row r="6" spans="1:16" ht="15" customHeight="1" x14ac:dyDescent="0.25">
      <c r="A6" s="61" t="s">
        <v>628</v>
      </c>
      <c r="B6" s="61" t="s">
        <v>638</v>
      </c>
      <c r="C6" s="61" t="s">
        <v>639</v>
      </c>
      <c r="D6" s="135" t="s">
        <v>640</v>
      </c>
      <c r="E6" s="64">
        <v>796</v>
      </c>
      <c r="F6" s="64">
        <v>720</v>
      </c>
      <c r="G6" s="64">
        <v>3</v>
      </c>
      <c r="H6" s="64">
        <v>4</v>
      </c>
      <c r="I6" s="137">
        <f t="shared" si="0"/>
        <v>2.2924799999999999</v>
      </c>
      <c r="J6" s="137">
        <f t="shared" si="1"/>
        <v>6.0640000000000001</v>
      </c>
      <c r="K6" s="138" t="str">
        <f t="shared" si="2"/>
        <v/>
      </c>
      <c r="L6" s="138" t="str">
        <f t="shared" si="3"/>
        <v/>
      </c>
      <c r="M6" s="61" t="s">
        <v>641</v>
      </c>
      <c r="N6" s="61" t="s">
        <v>632</v>
      </c>
      <c r="O6" s="61" t="s">
        <v>320</v>
      </c>
      <c r="P6" s="61"/>
    </row>
    <row r="7" spans="1:16" ht="15" customHeight="1" x14ac:dyDescent="0.25">
      <c r="A7" s="61" t="s">
        <v>628</v>
      </c>
      <c r="B7" s="61" t="s">
        <v>642</v>
      </c>
      <c r="C7" s="61" t="s">
        <v>643</v>
      </c>
      <c r="D7" s="135" t="s">
        <v>566</v>
      </c>
      <c r="E7" s="64">
        <v>760</v>
      </c>
      <c r="F7" s="64">
        <v>540</v>
      </c>
      <c r="G7" s="64">
        <v>18</v>
      </c>
      <c r="H7" s="64">
        <v>4</v>
      </c>
      <c r="I7" s="137">
        <f t="shared" si="0"/>
        <v>1.6415999999999999</v>
      </c>
      <c r="J7" s="137">
        <f t="shared" si="1"/>
        <v>5.2</v>
      </c>
      <c r="K7" s="138">
        <f t="shared" si="2"/>
        <v>12.5</v>
      </c>
      <c r="L7" s="138">
        <f t="shared" si="3"/>
        <v>20.52</v>
      </c>
      <c r="M7" s="61" t="s">
        <v>631</v>
      </c>
      <c r="N7" s="61" t="s">
        <v>632</v>
      </c>
      <c r="O7" s="61" t="s">
        <v>320</v>
      </c>
      <c r="P7" s="61"/>
    </row>
    <row r="8" spans="1:16" ht="15" customHeight="1" x14ac:dyDescent="0.25">
      <c r="A8" s="61" t="s">
        <v>628</v>
      </c>
      <c r="B8" s="61" t="s">
        <v>644</v>
      </c>
      <c r="C8" s="61" t="s">
        <v>645</v>
      </c>
      <c r="D8" s="135" t="s">
        <v>646</v>
      </c>
      <c r="E8" s="64">
        <v>715</v>
      </c>
      <c r="F8" s="64">
        <v>396</v>
      </c>
      <c r="G8" s="64">
        <v>18</v>
      </c>
      <c r="H8" s="64">
        <v>8</v>
      </c>
      <c r="I8" s="137">
        <f t="shared" si="0"/>
        <v>2.26512</v>
      </c>
      <c r="J8" s="137">
        <f t="shared" si="1"/>
        <v>8.8879999999999999</v>
      </c>
      <c r="K8" s="138" t="str">
        <f t="shared" si="2"/>
        <v/>
      </c>
      <c r="L8" s="138" t="str">
        <f t="shared" si="3"/>
        <v/>
      </c>
      <c r="M8" s="61" t="s">
        <v>631</v>
      </c>
      <c r="N8" s="61" t="s">
        <v>632</v>
      </c>
      <c r="O8" s="61" t="s">
        <v>320</v>
      </c>
      <c r="P8" s="61"/>
    </row>
    <row r="9" spans="1:16" ht="15" customHeight="1" x14ac:dyDescent="0.25">
      <c r="A9" s="61" t="s">
        <v>628</v>
      </c>
      <c r="B9" s="61" t="s">
        <v>647</v>
      </c>
      <c r="C9" s="61" t="s">
        <v>648</v>
      </c>
      <c r="D9" s="135" t="s">
        <v>566</v>
      </c>
      <c r="E9" s="64">
        <v>460</v>
      </c>
      <c r="F9" s="64">
        <v>120</v>
      </c>
      <c r="G9" s="64">
        <v>18</v>
      </c>
      <c r="H9" s="64">
        <v>6</v>
      </c>
      <c r="I9" s="137">
        <f t="shared" si="0"/>
        <v>0.33119999999999999</v>
      </c>
      <c r="J9" s="137">
        <f t="shared" si="1"/>
        <v>3.48</v>
      </c>
      <c r="K9" s="138">
        <f t="shared" si="2"/>
        <v>12.5</v>
      </c>
      <c r="L9" s="138">
        <f t="shared" si="3"/>
        <v>4.1399999999999997</v>
      </c>
      <c r="M9" s="61" t="s">
        <v>631</v>
      </c>
      <c r="N9" s="61" t="s">
        <v>632</v>
      </c>
      <c r="O9" s="61" t="s">
        <v>320</v>
      </c>
      <c r="P9" s="61"/>
    </row>
    <row r="10" spans="1:16" ht="15" customHeight="1" x14ac:dyDescent="0.25">
      <c r="A10" s="61" t="s">
        <v>628</v>
      </c>
      <c r="B10" s="61" t="s">
        <v>649</v>
      </c>
      <c r="C10" s="61" t="s">
        <v>650</v>
      </c>
      <c r="D10" s="135" t="s">
        <v>566</v>
      </c>
      <c r="E10" s="64">
        <v>726</v>
      </c>
      <c r="F10" s="64">
        <v>120</v>
      </c>
      <c r="G10" s="64">
        <v>18</v>
      </c>
      <c r="H10" s="64">
        <v>6</v>
      </c>
      <c r="I10" s="137">
        <f t="shared" si="0"/>
        <v>0.52271999999999996</v>
      </c>
      <c r="J10" s="137">
        <f t="shared" si="1"/>
        <v>5.0759999999999996</v>
      </c>
      <c r="K10" s="138">
        <f t="shared" si="2"/>
        <v>12.5</v>
      </c>
      <c r="L10" s="138">
        <f t="shared" si="3"/>
        <v>6.5339999999999998</v>
      </c>
      <c r="M10" s="61" t="s">
        <v>631</v>
      </c>
      <c r="N10" s="61" t="s">
        <v>632</v>
      </c>
      <c r="O10" s="61" t="s">
        <v>320</v>
      </c>
      <c r="P10" s="61"/>
    </row>
    <row r="11" spans="1:16" ht="15" customHeight="1" x14ac:dyDescent="0.25">
      <c r="A11" s="61" t="s">
        <v>628</v>
      </c>
      <c r="B11" s="61" t="s">
        <v>651</v>
      </c>
      <c r="C11" s="61" t="s">
        <v>652</v>
      </c>
      <c r="D11" s="135" t="s">
        <v>640</v>
      </c>
      <c r="E11" s="64">
        <v>760</v>
      </c>
      <c r="F11" s="64">
        <v>460</v>
      </c>
      <c r="G11" s="64">
        <v>3</v>
      </c>
      <c r="H11" s="64">
        <v>3</v>
      </c>
      <c r="I11" s="137">
        <f t="shared" si="0"/>
        <v>1.0488</v>
      </c>
      <c r="J11" s="137">
        <f t="shared" si="1"/>
        <v>3.66</v>
      </c>
      <c r="K11" s="138" t="str">
        <f t="shared" si="2"/>
        <v/>
      </c>
      <c r="L11" s="138" t="str">
        <f t="shared" si="3"/>
        <v/>
      </c>
      <c r="M11" s="61" t="s">
        <v>641</v>
      </c>
      <c r="N11" s="61" t="s">
        <v>653</v>
      </c>
      <c r="O11" s="61" t="s">
        <v>320</v>
      </c>
      <c r="P11" s="61"/>
    </row>
    <row r="12" spans="1:16" ht="15" customHeight="1" x14ac:dyDescent="0.25">
      <c r="A12" s="61" t="s">
        <v>654</v>
      </c>
      <c r="B12" s="61" t="s">
        <v>655</v>
      </c>
      <c r="C12" s="61" t="s">
        <v>656</v>
      </c>
      <c r="D12" s="135" t="s">
        <v>657</v>
      </c>
      <c r="E12" s="64">
        <v>2400</v>
      </c>
      <c r="F12" s="64">
        <v>600</v>
      </c>
      <c r="G12" s="64">
        <v>18</v>
      </c>
      <c r="H12" s="64">
        <v>4</v>
      </c>
      <c r="I12" s="137">
        <f t="shared" si="0"/>
        <v>5.76</v>
      </c>
      <c r="J12" s="137">
        <f t="shared" si="1"/>
        <v>12</v>
      </c>
      <c r="K12" s="138">
        <f t="shared" si="2"/>
        <v>14.8</v>
      </c>
      <c r="L12" s="138">
        <f t="shared" si="3"/>
        <v>85.248000000000005</v>
      </c>
      <c r="M12" s="61" t="s">
        <v>631</v>
      </c>
      <c r="N12" s="61" t="s">
        <v>632</v>
      </c>
      <c r="O12" s="61" t="s">
        <v>320</v>
      </c>
      <c r="P12" s="61"/>
    </row>
    <row r="13" spans="1:16" ht="15" customHeight="1" x14ac:dyDescent="0.25">
      <c r="A13" s="61" t="s">
        <v>654</v>
      </c>
      <c r="B13" s="61" t="s">
        <v>658</v>
      </c>
      <c r="C13" s="61" t="s">
        <v>659</v>
      </c>
      <c r="D13" s="135" t="s">
        <v>657</v>
      </c>
      <c r="E13" s="64">
        <v>1164</v>
      </c>
      <c r="F13" s="64">
        <v>600</v>
      </c>
      <c r="G13" s="64">
        <v>18</v>
      </c>
      <c r="H13" s="64">
        <v>4</v>
      </c>
      <c r="I13" s="137">
        <f t="shared" si="0"/>
        <v>2.7936000000000001</v>
      </c>
      <c r="J13" s="137">
        <f t="shared" si="1"/>
        <v>7.056</v>
      </c>
      <c r="K13" s="138">
        <f t="shared" si="2"/>
        <v>14.8</v>
      </c>
      <c r="L13" s="138">
        <f t="shared" si="3"/>
        <v>41.345280000000002</v>
      </c>
      <c r="M13" s="61" t="s">
        <v>637</v>
      </c>
      <c r="N13" s="61" t="s">
        <v>632</v>
      </c>
      <c r="O13" s="61" t="s">
        <v>320</v>
      </c>
      <c r="P13" s="61"/>
    </row>
    <row r="14" spans="1:16" ht="15" customHeight="1" x14ac:dyDescent="0.25">
      <c r="A14" s="61" t="s">
        <v>654</v>
      </c>
      <c r="B14" s="61" t="s">
        <v>660</v>
      </c>
      <c r="C14" s="61" t="s">
        <v>661</v>
      </c>
      <c r="D14" s="135" t="s">
        <v>640</v>
      </c>
      <c r="E14" s="64">
        <v>1196</v>
      </c>
      <c r="F14" s="64">
        <v>2400</v>
      </c>
      <c r="G14" s="64">
        <v>3</v>
      </c>
      <c r="H14" s="64">
        <v>2</v>
      </c>
      <c r="I14" s="137">
        <f t="shared" si="0"/>
        <v>5.7408000000000001</v>
      </c>
      <c r="J14" s="137">
        <f t="shared" si="1"/>
        <v>7.1920000000000002</v>
      </c>
      <c r="K14" s="138" t="str">
        <f t="shared" si="2"/>
        <v/>
      </c>
      <c r="L14" s="138" t="str">
        <f t="shared" si="3"/>
        <v/>
      </c>
      <c r="M14" s="61" t="s">
        <v>641</v>
      </c>
      <c r="N14" s="61" t="s">
        <v>653</v>
      </c>
      <c r="O14" s="61" t="s">
        <v>320</v>
      </c>
      <c r="P14" s="61"/>
    </row>
    <row r="15" spans="1:16" ht="15" customHeight="1" x14ac:dyDescent="0.25">
      <c r="A15" s="61" t="s">
        <v>654</v>
      </c>
      <c r="B15" s="61" t="s">
        <v>662</v>
      </c>
      <c r="C15" s="61" t="s">
        <v>663</v>
      </c>
      <c r="D15" s="135" t="s">
        <v>657</v>
      </c>
      <c r="E15" s="64">
        <v>2380</v>
      </c>
      <c r="F15" s="64">
        <v>596</v>
      </c>
      <c r="G15" s="64">
        <v>18</v>
      </c>
      <c r="H15" s="64">
        <v>2</v>
      </c>
      <c r="I15" s="137">
        <f t="shared" si="0"/>
        <v>2.8369599999999999</v>
      </c>
      <c r="J15" s="137">
        <f t="shared" si="1"/>
        <v>5.952</v>
      </c>
      <c r="K15" s="138">
        <f t="shared" si="2"/>
        <v>14.8</v>
      </c>
      <c r="L15" s="138">
        <f t="shared" si="3"/>
        <v>41.987008000000003</v>
      </c>
      <c r="M15" s="61" t="s">
        <v>631</v>
      </c>
      <c r="N15" s="61" t="s">
        <v>632</v>
      </c>
      <c r="O15" s="61" t="s">
        <v>320</v>
      </c>
      <c r="P15" s="61"/>
    </row>
    <row r="16" spans="1:16" ht="15" customHeight="1" x14ac:dyDescent="0.25">
      <c r="A16" s="61" t="s">
        <v>654</v>
      </c>
      <c r="B16" s="61" t="s">
        <v>664</v>
      </c>
      <c r="C16" s="61" t="s">
        <v>665</v>
      </c>
      <c r="D16" s="135" t="s">
        <v>657</v>
      </c>
      <c r="E16" s="64">
        <v>1160</v>
      </c>
      <c r="F16" s="64">
        <v>580</v>
      </c>
      <c r="G16" s="64">
        <v>18</v>
      </c>
      <c r="H16" s="64">
        <v>4</v>
      </c>
      <c r="I16" s="137">
        <f t="shared" si="0"/>
        <v>2.6911999999999998</v>
      </c>
      <c r="J16" s="137">
        <f t="shared" si="1"/>
        <v>6.96</v>
      </c>
      <c r="K16" s="138">
        <f t="shared" si="2"/>
        <v>14.8</v>
      </c>
      <c r="L16" s="138">
        <f t="shared" si="3"/>
        <v>39.82976</v>
      </c>
      <c r="M16" s="61" t="s">
        <v>631</v>
      </c>
      <c r="N16" s="61" t="s">
        <v>632</v>
      </c>
      <c r="O16" s="61" t="s">
        <v>320</v>
      </c>
      <c r="P16" s="61"/>
    </row>
    <row r="17" spans="1:16" ht="15" customHeight="1" x14ac:dyDescent="0.25">
      <c r="A17" s="61"/>
      <c r="B17" s="61"/>
      <c r="C17" s="61"/>
      <c r="D17" s="135"/>
      <c r="E17" s="64"/>
      <c r="F17" s="64"/>
      <c r="G17" s="64"/>
      <c r="H17" s="64"/>
      <c r="I17" s="137" t="str">
        <f t="shared" si="0"/>
        <v/>
      </c>
      <c r="J17" s="137" t="str">
        <f t="shared" si="1"/>
        <v/>
      </c>
      <c r="K17" s="138" t="str">
        <f t="shared" si="2"/>
        <v/>
      </c>
      <c r="L17" s="138" t="str">
        <f t="shared" si="3"/>
        <v/>
      </c>
      <c r="M17" s="61"/>
      <c r="N17" s="61"/>
      <c r="O17" s="61"/>
      <c r="P17" s="61"/>
    </row>
    <row r="18" spans="1:16" ht="15" customHeight="1" x14ac:dyDescent="0.25">
      <c r="A18" s="61"/>
      <c r="B18" s="61"/>
      <c r="C18" s="61"/>
      <c r="D18" s="135"/>
      <c r="E18" s="64"/>
      <c r="F18" s="64"/>
      <c r="G18" s="64"/>
      <c r="H18" s="64"/>
      <c r="I18" s="137" t="str">
        <f t="shared" si="0"/>
        <v/>
      </c>
      <c r="J18" s="137" t="str">
        <f t="shared" si="1"/>
        <v/>
      </c>
      <c r="K18" s="138" t="str">
        <f t="shared" si="2"/>
        <v/>
      </c>
      <c r="L18" s="138" t="str">
        <f t="shared" si="3"/>
        <v/>
      </c>
      <c r="M18" s="61"/>
      <c r="N18" s="61"/>
      <c r="O18" s="61"/>
      <c r="P18" s="61"/>
    </row>
    <row r="19" spans="1:16" ht="15" customHeight="1" x14ac:dyDescent="0.25">
      <c r="A19" s="61"/>
      <c r="B19" s="61"/>
      <c r="C19" s="61"/>
      <c r="D19" s="135"/>
      <c r="E19" s="64"/>
      <c r="F19" s="64"/>
      <c r="G19" s="64"/>
      <c r="H19" s="64"/>
      <c r="I19" s="137" t="str">
        <f t="shared" si="0"/>
        <v/>
      </c>
      <c r="J19" s="137" t="str">
        <f t="shared" si="1"/>
        <v/>
      </c>
      <c r="K19" s="138" t="str">
        <f t="shared" si="2"/>
        <v/>
      </c>
      <c r="L19" s="138" t="str">
        <f t="shared" si="3"/>
        <v/>
      </c>
      <c r="M19" s="61"/>
      <c r="N19" s="61"/>
      <c r="O19" s="61"/>
      <c r="P19" s="61"/>
    </row>
    <row r="20" spans="1:16" ht="15" customHeight="1" x14ac:dyDescent="0.25">
      <c r="A20" s="61"/>
      <c r="B20" s="61"/>
      <c r="C20" s="61"/>
      <c r="D20" s="135"/>
      <c r="E20" s="64"/>
      <c r="F20" s="64"/>
      <c r="G20" s="64"/>
      <c r="H20" s="64"/>
      <c r="I20" s="137" t="str">
        <f t="shared" si="0"/>
        <v/>
      </c>
      <c r="J20" s="137" t="str">
        <f t="shared" si="1"/>
        <v/>
      </c>
      <c r="K20" s="138" t="str">
        <f t="shared" si="2"/>
        <v/>
      </c>
      <c r="L20" s="138" t="str">
        <f t="shared" si="3"/>
        <v/>
      </c>
      <c r="M20" s="61"/>
      <c r="N20" s="61"/>
      <c r="O20" s="61"/>
      <c r="P20" s="61"/>
    </row>
    <row r="21" spans="1:16" ht="15" customHeight="1" x14ac:dyDescent="0.25">
      <c r="A21" s="61"/>
      <c r="B21" s="61"/>
      <c r="C21" s="61"/>
      <c r="D21" s="135"/>
      <c r="E21" s="64"/>
      <c r="F21" s="64"/>
      <c r="G21" s="64"/>
      <c r="H21" s="64"/>
      <c r="I21" s="137" t="str">
        <f t="shared" si="0"/>
        <v/>
      </c>
      <c r="J21" s="137" t="str">
        <f t="shared" si="1"/>
        <v/>
      </c>
      <c r="K21" s="138" t="str">
        <f t="shared" si="2"/>
        <v/>
      </c>
      <c r="L21" s="138" t="str">
        <f t="shared" si="3"/>
        <v/>
      </c>
      <c r="M21" s="61"/>
      <c r="N21" s="61"/>
      <c r="O21" s="61"/>
      <c r="P21" s="61"/>
    </row>
    <row r="22" spans="1:16" ht="15" customHeight="1" x14ac:dyDescent="0.25">
      <c r="A22" s="61"/>
      <c r="B22" s="61"/>
      <c r="C22" s="61"/>
      <c r="D22" s="135"/>
      <c r="E22" s="64"/>
      <c r="F22" s="64"/>
      <c r="G22" s="64"/>
      <c r="H22" s="64"/>
      <c r="I22" s="137" t="str">
        <f t="shared" si="0"/>
        <v/>
      </c>
      <c r="J22" s="137" t="str">
        <f t="shared" si="1"/>
        <v/>
      </c>
      <c r="K22" s="138" t="str">
        <f t="shared" si="2"/>
        <v/>
      </c>
      <c r="L22" s="138" t="str">
        <f t="shared" si="3"/>
        <v/>
      </c>
      <c r="M22" s="61"/>
      <c r="N22" s="61"/>
      <c r="O22" s="61"/>
      <c r="P22" s="61"/>
    </row>
    <row r="23" spans="1:16" ht="15" customHeight="1" x14ac:dyDescent="0.25">
      <c r="A23" s="61"/>
      <c r="B23" s="61"/>
      <c r="C23" s="61"/>
      <c r="D23" s="135"/>
      <c r="E23" s="64"/>
      <c r="F23" s="64"/>
      <c r="G23" s="64"/>
      <c r="H23" s="64"/>
      <c r="I23" s="137" t="str">
        <f t="shared" si="0"/>
        <v/>
      </c>
      <c r="J23" s="137" t="str">
        <f t="shared" si="1"/>
        <v/>
      </c>
      <c r="K23" s="138" t="str">
        <f t="shared" si="2"/>
        <v/>
      </c>
      <c r="L23" s="138" t="str">
        <f t="shared" si="3"/>
        <v/>
      </c>
      <c r="M23" s="61"/>
      <c r="N23" s="61"/>
      <c r="O23" s="61"/>
      <c r="P23" s="61"/>
    </row>
    <row r="24" spans="1:16" ht="15" customHeight="1" x14ac:dyDescent="0.25">
      <c r="A24" s="61"/>
      <c r="B24" s="61"/>
      <c r="C24" s="61"/>
      <c r="D24" s="135"/>
      <c r="E24" s="64"/>
      <c r="F24" s="64"/>
      <c r="G24" s="64"/>
      <c r="H24" s="64"/>
      <c r="I24" s="137" t="str">
        <f t="shared" si="0"/>
        <v/>
      </c>
      <c r="J24" s="137" t="str">
        <f t="shared" si="1"/>
        <v/>
      </c>
      <c r="K24" s="138" t="str">
        <f t="shared" si="2"/>
        <v/>
      </c>
      <c r="L24" s="138" t="str">
        <f t="shared" si="3"/>
        <v/>
      </c>
      <c r="M24" s="61"/>
      <c r="N24" s="61"/>
      <c r="O24" s="61"/>
      <c r="P24" s="61"/>
    </row>
    <row r="25" spans="1:16" ht="15" customHeight="1" x14ac:dyDescent="0.25">
      <c r="A25" s="61"/>
      <c r="B25" s="61"/>
      <c r="C25" s="61"/>
      <c r="D25" s="135"/>
      <c r="E25" s="64"/>
      <c r="F25" s="64"/>
      <c r="G25" s="64"/>
      <c r="H25" s="64"/>
      <c r="I25" s="137" t="str">
        <f t="shared" si="0"/>
        <v/>
      </c>
      <c r="J25" s="137" t="str">
        <f t="shared" si="1"/>
        <v/>
      </c>
      <c r="K25" s="138" t="str">
        <f t="shared" si="2"/>
        <v/>
      </c>
      <c r="L25" s="138" t="str">
        <f t="shared" si="3"/>
        <v/>
      </c>
      <c r="M25" s="61"/>
      <c r="N25" s="61"/>
      <c r="O25" s="61"/>
      <c r="P25" s="61"/>
    </row>
    <row r="26" spans="1:16" ht="15" customHeight="1" x14ac:dyDescent="0.25">
      <c r="A26" s="61"/>
      <c r="B26" s="61"/>
      <c r="C26" s="61"/>
      <c r="D26" s="135"/>
      <c r="E26" s="64"/>
      <c r="F26" s="64"/>
      <c r="G26" s="64"/>
      <c r="H26" s="64"/>
      <c r="I26" s="137" t="str">
        <f t="shared" si="0"/>
        <v/>
      </c>
      <c r="J26" s="137" t="str">
        <f t="shared" si="1"/>
        <v/>
      </c>
      <c r="K26" s="138" t="str">
        <f t="shared" si="2"/>
        <v/>
      </c>
      <c r="L26" s="138" t="str">
        <f t="shared" si="3"/>
        <v/>
      </c>
      <c r="M26" s="61"/>
      <c r="N26" s="61"/>
      <c r="O26" s="61"/>
      <c r="P26" s="61"/>
    </row>
    <row r="27" spans="1:16" ht="15" customHeight="1" x14ac:dyDescent="0.25">
      <c r="A27" s="61"/>
      <c r="B27" s="61"/>
      <c r="C27" s="61"/>
      <c r="D27" s="135"/>
      <c r="E27" s="64"/>
      <c r="F27" s="64"/>
      <c r="G27" s="64"/>
      <c r="H27" s="64"/>
      <c r="I27" s="137" t="str">
        <f t="shared" si="0"/>
        <v/>
      </c>
      <c r="J27" s="137" t="str">
        <f t="shared" si="1"/>
        <v/>
      </c>
      <c r="K27" s="138" t="str">
        <f t="shared" si="2"/>
        <v/>
      </c>
      <c r="L27" s="138" t="str">
        <f t="shared" si="3"/>
        <v/>
      </c>
      <c r="M27" s="61"/>
      <c r="N27" s="61"/>
      <c r="O27" s="61"/>
      <c r="P27" s="61"/>
    </row>
    <row r="28" spans="1:16" ht="15" customHeight="1" x14ac:dyDescent="0.25">
      <c r="A28" s="61"/>
      <c r="B28" s="61"/>
      <c r="C28" s="61"/>
      <c r="D28" s="135"/>
      <c r="E28" s="64"/>
      <c r="F28" s="64"/>
      <c r="G28" s="64"/>
      <c r="H28" s="64"/>
      <c r="I28" s="137" t="str">
        <f t="shared" si="0"/>
        <v/>
      </c>
      <c r="J28" s="137" t="str">
        <f t="shared" si="1"/>
        <v/>
      </c>
      <c r="K28" s="138" t="str">
        <f t="shared" si="2"/>
        <v/>
      </c>
      <c r="L28" s="138" t="str">
        <f t="shared" si="3"/>
        <v/>
      </c>
      <c r="M28" s="61"/>
      <c r="N28" s="61"/>
      <c r="O28" s="61"/>
      <c r="P28" s="61"/>
    </row>
    <row r="29" spans="1:16" ht="15" customHeight="1" x14ac:dyDescent="0.25">
      <c r="A29" s="61"/>
      <c r="B29" s="61"/>
      <c r="C29" s="61"/>
      <c r="D29" s="135"/>
      <c r="E29" s="64"/>
      <c r="F29" s="64"/>
      <c r="G29" s="64"/>
      <c r="H29" s="64"/>
      <c r="I29" s="137" t="str">
        <f t="shared" si="0"/>
        <v/>
      </c>
      <c r="J29" s="137" t="str">
        <f t="shared" si="1"/>
        <v/>
      </c>
      <c r="K29" s="138" t="str">
        <f t="shared" si="2"/>
        <v/>
      </c>
      <c r="L29" s="138" t="str">
        <f t="shared" si="3"/>
        <v/>
      </c>
      <c r="M29" s="61"/>
      <c r="N29" s="61"/>
      <c r="O29" s="61"/>
      <c r="P29" s="61"/>
    </row>
    <row r="30" spans="1:16" ht="15" customHeight="1" x14ac:dyDescent="0.25">
      <c r="A30" s="61"/>
      <c r="B30" s="61"/>
      <c r="C30" s="61"/>
      <c r="D30" s="135"/>
      <c r="E30" s="64"/>
      <c r="F30" s="64"/>
      <c r="G30" s="64"/>
      <c r="H30" s="64"/>
      <c r="I30" s="137" t="str">
        <f t="shared" si="0"/>
        <v/>
      </c>
      <c r="J30" s="137" t="str">
        <f t="shared" si="1"/>
        <v/>
      </c>
      <c r="K30" s="138" t="str">
        <f t="shared" si="2"/>
        <v/>
      </c>
      <c r="L30" s="138" t="str">
        <f t="shared" si="3"/>
        <v/>
      </c>
      <c r="M30" s="61"/>
      <c r="N30" s="61"/>
      <c r="O30" s="61"/>
      <c r="P30" s="61"/>
    </row>
    <row r="31" spans="1:16" ht="15" customHeight="1" x14ac:dyDescent="0.25">
      <c r="A31" s="61"/>
      <c r="B31" s="61"/>
      <c r="C31" s="61"/>
      <c r="D31" s="135"/>
      <c r="E31" s="64"/>
      <c r="F31" s="64"/>
      <c r="G31" s="64"/>
      <c r="H31" s="64"/>
      <c r="I31" s="137" t="str">
        <f t="shared" si="0"/>
        <v/>
      </c>
      <c r="J31" s="137" t="str">
        <f t="shared" si="1"/>
        <v/>
      </c>
      <c r="K31" s="138" t="str">
        <f t="shared" si="2"/>
        <v/>
      </c>
      <c r="L31" s="138" t="str">
        <f t="shared" si="3"/>
        <v/>
      </c>
      <c r="M31" s="61"/>
      <c r="N31" s="61"/>
      <c r="O31" s="61"/>
      <c r="P31" s="61"/>
    </row>
    <row r="32" spans="1:16" ht="15" customHeight="1" x14ac:dyDescent="0.25">
      <c r="A32" s="61"/>
      <c r="B32" s="61"/>
      <c r="C32" s="61"/>
      <c r="D32" s="135"/>
      <c r="E32" s="64"/>
      <c r="F32" s="64"/>
      <c r="G32" s="64"/>
      <c r="H32" s="64"/>
      <c r="I32" s="137" t="str">
        <f t="shared" si="0"/>
        <v/>
      </c>
      <c r="J32" s="137" t="str">
        <f t="shared" si="1"/>
        <v/>
      </c>
      <c r="K32" s="138" t="str">
        <f t="shared" si="2"/>
        <v/>
      </c>
      <c r="L32" s="138" t="str">
        <f t="shared" si="3"/>
        <v/>
      </c>
      <c r="M32" s="61"/>
      <c r="N32" s="61"/>
      <c r="O32" s="61"/>
      <c r="P32" s="61"/>
    </row>
    <row r="33" spans="1:16" ht="15" customHeight="1" x14ac:dyDescent="0.25">
      <c r="A33" s="61"/>
      <c r="B33" s="61"/>
      <c r="C33" s="61"/>
      <c r="D33" s="135"/>
      <c r="E33" s="64"/>
      <c r="F33" s="64"/>
      <c r="G33" s="64"/>
      <c r="H33" s="64"/>
      <c r="I33" s="137" t="str">
        <f t="shared" si="0"/>
        <v/>
      </c>
      <c r="J33" s="137" t="str">
        <f t="shared" si="1"/>
        <v/>
      </c>
      <c r="K33" s="138" t="str">
        <f t="shared" si="2"/>
        <v/>
      </c>
      <c r="L33" s="138" t="str">
        <f t="shared" si="3"/>
        <v/>
      </c>
      <c r="M33" s="61"/>
      <c r="N33" s="61"/>
      <c r="O33" s="61"/>
      <c r="P33" s="61"/>
    </row>
    <row r="34" spans="1:16" ht="15" customHeight="1" x14ac:dyDescent="0.25">
      <c r="A34" s="61"/>
      <c r="B34" s="61"/>
      <c r="C34" s="61"/>
      <c r="D34" s="135"/>
      <c r="E34" s="64"/>
      <c r="F34" s="64"/>
      <c r="G34" s="64"/>
      <c r="H34" s="64"/>
      <c r="I34" s="137" t="str">
        <f t="shared" si="0"/>
        <v/>
      </c>
      <c r="J34" s="137" t="str">
        <f t="shared" si="1"/>
        <v/>
      </c>
      <c r="K34" s="138" t="str">
        <f t="shared" si="2"/>
        <v/>
      </c>
      <c r="L34" s="138" t="str">
        <f t="shared" si="3"/>
        <v/>
      </c>
      <c r="M34" s="61"/>
      <c r="N34" s="61"/>
      <c r="O34" s="61"/>
      <c r="P34" s="61"/>
    </row>
    <row r="35" spans="1:16" ht="15" customHeight="1" x14ac:dyDescent="0.25">
      <c r="A35" s="61"/>
      <c r="B35" s="61"/>
      <c r="C35" s="61"/>
      <c r="D35" s="135"/>
      <c r="E35" s="64"/>
      <c r="F35" s="64"/>
      <c r="G35" s="64"/>
      <c r="H35" s="64"/>
      <c r="I35" s="137" t="str">
        <f t="shared" si="0"/>
        <v/>
      </c>
      <c r="J35" s="137" t="str">
        <f t="shared" si="1"/>
        <v/>
      </c>
      <c r="K35" s="138" t="str">
        <f t="shared" si="2"/>
        <v/>
      </c>
      <c r="L35" s="138" t="str">
        <f t="shared" si="3"/>
        <v/>
      </c>
      <c r="M35" s="61"/>
      <c r="N35" s="61"/>
      <c r="O35" s="61"/>
      <c r="P35" s="61"/>
    </row>
    <row r="36" spans="1:16" ht="15" customHeight="1" x14ac:dyDescent="0.25">
      <c r="A36" s="61"/>
      <c r="B36" s="61"/>
      <c r="C36" s="61"/>
      <c r="D36" s="135"/>
      <c r="E36" s="64"/>
      <c r="F36" s="64"/>
      <c r="G36" s="64"/>
      <c r="H36" s="64"/>
      <c r="I36" s="137" t="str">
        <f t="shared" si="0"/>
        <v/>
      </c>
      <c r="J36" s="137" t="str">
        <f t="shared" si="1"/>
        <v/>
      </c>
      <c r="K36" s="138" t="str">
        <f t="shared" si="2"/>
        <v/>
      </c>
      <c r="L36" s="138" t="str">
        <f t="shared" si="3"/>
        <v/>
      </c>
      <c r="M36" s="61"/>
      <c r="N36" s="61"/>
      <c r="O36" s="61"/>
      <c r="P36" s="61"/>
    </row>
    <row r="37" spans="1:16" ht="15" customHeight="1" x14ac:dyDescent="0.25">
      <c r="A37" s="61"/>
      <c r="B37" s="61"/>
      <c r="C37" s="61"/>
      <c r="D37" s="135"/>
      <c r="E37" s="64"/>
      <c r="F37" s="64"/>
      <c r="G37" s="64"/>
      <c r="H37" s="64"/>
      <c r="I37" s="137" t="str">
        <f t="shared" si="0"/>
        <v/>
      </c>
      <c r="J37" s="137" t="str">
        <f t="shared" si="1"/>
        <v/>
      </c>
      <c r="K37" s="138" t="str">
        <f t="shared" si="2"/>
        <v/>
      </c>
      <c r="L37" s="138" t="str">
        <f t="shared" si="3"/>
        <v/>
      </c>
      <c r="M37" s="61"/>
      <c r="N37" s="61"/>
      <c r="O37" s="61"/>
      <c r="P37" s="61"/>
    </row>
    <row r="38" spans="1:16" ht="15" customHeight="1" x14ac:dyDescent="0.25">
      <c r="A38" s="61"/>
      <c r="B38" s="61"/>
      <c r="C38" s="61"/>
      <c r="D38" s="135"/>
      <c r="E38" s="64"/>
      <c r="F38" s="64"/>
      <c r="G38" s="64"/>
      <c r="H38" s="64"/>
      <c r="I38" s="137" t="str">
        <f t="shared" si="0"/>
        <v/>
      </c>
      <c r="J38" s="137" t="str">
        <f t="shared" si="1"/>
        <v/>
      </c>
      <c r="K38" s="138" t="str">
        <f t="shared" si="2"/>
        <v/>
      </c>
      <c r="L38" s="138" t="str">
        <f t="shared" si="3"/>
        <v/>
      </c>
      <c r="M38" s="61"/>
      <c r="N38" s="61"/>
      <c r="O38" s="61"/>
      <c r="P38" s="61"/>
    </row>
    <row r="39" spans="1:16" ht="15" customHeight="1" x14ac:dyDescent="0.25">
      <c r="A39" s="61"/>
      <c r="B39" s="61"/>
      <c r="C39" s="61"/>
      <c r="D39" s="135"/>
      <c r="E39" s="64"/>
      <c r="F39" s="64"/>
      <c r="G39" s="64"/>
      <c r="H39" s="64"/>
      <c r="I39" s="137" t="str">
        <f t="shared" si="0"/>
        <v/>
      </c>
      <c r="J39" s="137" t="str">
        <f t="shared" si="1"/>
        <v/>
      </c>
      <c r="K39" s="138" t="str">
        <f t="shared" si="2"/>
        <v/>
      </c>
      <c r="L39" s="138" t="str">
        <f t="shared" si="3"/>
        <v/>
      </c>
      <c r="M39" s="61"/>
      <c r="N39" s="61"/>
      <c r="O39" s="61"/>
      <c r="P39" s="61"/>
    </row>
    <row r="40" spans="1:16" ht="15" customHeight="1" x14ac:dyDescent="0.25">
      <c r="A40" s="61"/>
      <c r="B40" s="61"/>
      <c r="C40" s="61"/>
      <c r="D40" s="135"/>
      <c r="E40" s="64"/>
      <c r="F40" s="64"/>
      <c r="G40" s="64"/>
      <c r="H40" s="64"/>
      <c r="I40" s="137" t="str">
        <f t="shared" si="0"/>
        <v/>
      </c>
      <c r="J40" s="137" t="str">
        <f t="shared" si="1"/>
        <v/>
      </c>
      <c r="K40" s="138" t="str">
        <f t="shared" si="2"/>
        <v/>
      </c>
      <c r="L40" s="138" t="str">
        <f t="shared" si="3"/>
        <v/>
      </c>
      <c r="M40" s="61"/>
      <c r="N40" s="61"/>
      <c r="O40" s="61"/>
      <c r="P40" s="61"/>
    </row>
    <row r="41" spans="1:16" ht="15" customHeight="1" x14ac:dyDescent="0.25">
      <c r="A41" s="61"/>
      <c r="B41" s="61"/>
      <c r="C41" s="61"/>
      <c r="D41" s="135"/>
      <c r="E41" s="64"/>
      <c r="F41" s="64"/>
      <c r="G41" s="64"/>
      <c r="H41" s="64"/>
      <c r="I41" s="137" t="str">
        <f t="shared" si="0"/>
        <v/>
      </c>
      <c r="J41" s="137" t="str">
        <f t="shared" si="1"/>
        <v/>
      </c>
      <c r="K41" s="138" t="str">
        <f t="shared" si="2"/>
        <v/>
      </c>
      <c r="L41" s="138" t="str">
        <f t="shared" si="3"/>
        <v/>
      </c>
      <c r="M41" s="61"/>
      <c r="N41" s="61"/>
      <c r="O41" s="61"/>
      <c r="P41" s="61"/>
    </row>
    <row r="42" spans="1:16" ht="15" customHeight="1" x14ac:dyDescent="0.25">
      <c r="A42" s="61"/>
      <c r="B42" s="61"/>
      <c r="C42" s="61"/>
      <c r="D42" s="135"/>
      <c r="E42" s="64"/>
      <c r="F42" s="64"/>
      <c r="G42" s="64"/>
      <c r="H42" s="64"/>
      <c r="I42" s="137" t="str">
        <f t="shared" si="0"/>
        <v/>
      </c>
      <c r="J42" s="137" t="str">
        <f t="shared" si="1"/>
        <v/>
      </c>
      <c r="K42" s="138" t="str">
        <f t="shared" si="2"/>
        <v/>
      </c>
      <c r="L42" s="138" t="str">
        <f t="shared" si="3"/>
        <v/>
      </c>
      <c r="M42" s="61"/>
      <c r="N42" s="61"/>
      <c r="O42" s="61"/>
      <c r="P42" s="61"/>
    </row>
    <row r="43" spans="1:16" ht="15" customHeight="1" x14ac:dyDescent="0.25">
      <c r="A43" s="61"/>
      <c r="B43" s="61"/>
      <c r="C43" s="61"/>
      <c r="D43" s="135"/>
      <c r="E43" s="64"/>
      <c r="F43" s="64"/>
      <c r="G43" s="64"/>
      <c r="H43" s="64"/>
      <c r="I43" s="137" t="str">
        <f t="shared" si="0"/>
        <v/>
      </c>
      <c r="J43" s="137" t="str">
        <f t="shared" si="1"/>
        <v/>
      </c>
      <c r="K43" s="138" t="str">
        <f t="shared" si="2"/>
        <v/>
      </c>
      <c r="L43" s="138" t="str">
        <f t="shared" si="3"/>
        <v/>
      </c>
      <c r="M43" s="61"/>
      <c r="N43" s="61"/>
      <c r="O43" s="61"/>
      <c r="P43" s="61"/>
    </row>
    <row r="44" spans="1:16" ht="15" customHeight="1" x14ac:dyDescent="0.25">
      <c r="A44" s="61"/>
      <c r="B44" s="61"/>
      <c r="C44" s="61"/>
      <c r="D44" s="135"/>
      <c r="E44" s="64"/>
      <c r="F44" s="64"/>
      <c r="G44" s="64"/>
      <c r="H44" s="64"/>
      <c r="I44" s="137" t="str">
        <f t="shared" si="0"/>
        <v/>
      </c>
      <c r="J44" s="137" t="str">
        <f t="shared" si="1"/>
        <v/>
      </c>
      <c r="K44" s="138" t="str">
        <f t="shared" si="2"/>
        <v/>
      </c>
      <c r="L44" s="138" t="str">
        <f t="shared" si="3"/>
        <v/>
      </c>
      <c r="M44" s="61"/>
      <c r="N44" s="61"/>
      <c r="O44" s="61"/>
      <c r="P44" s="61"/>
    </row>
    <row r="45" spans="1:16" ht="15" customHeight="1" x14ac:dyDescent="0.25">
      <c r="A45" s="61"/>
      <c r="B45" s="61"/>
      <c r="C45" s="61"/>
      <c r="D45" s="135"/>
      <c r="E45" s="64"/>
      <c r="F45" s="64"/>
      <c r="G45" s="64"/>
      <c r="H45" s="64"/>
      <c r="I45" s="137" t="str">
        <f t="shared" si="0"/>
        <v/>
      </c>
      <c r="J45" s="137" t="str">
        <f t="shared" si="1"/>
        <v/>
      </c>
      <c r="K45" s="138" t="str">
        <f t="shared" si="2"/>
        <v/>
      </c>
      <c r="L45" s="138" t="str">
        <f t="shared" si="3"/>
        <v/>
      </c>
      <c r="M45" s="61"/>
      <c r="N45" s="61"/>
      <c r="O45" s="61"/>
      <c r="P45" s="61"/>
    </row>
    <row r="46" spans="1:16" ht="15" customHeight="1" x14ac:dyDescent="0.25">
      <c r="A46" s="61"/>
      <c r="B46" s="61"/>
      <c r="C46" s="61"/>
      <c r="D46" s="135"/>
      <c r="E46" s="64"/>
      <c r="F46" s="64"/>
      <c r="G46" s="64"/>
      <c r="H46" s="64"/>
      <c r="I46" s="137" t="str">
        <f t="shared" si="0"/>
        <v/>
      </c>
      <c r="J46" s="137" t="str">
        <f t="shared" si="1"/>
        <v/>
      </c>
      <c r="K46" s="138" t="str">
        <f t="shared" si="2"/>
        <v/>
      </c>
      <c r="L46" s="138" t="str">
        <f t="shared" si="3"/>
        <v/>
      </c>
      <c r="M46" s="61"/>
      <c r="N46" s="61"/>
      <c r="O46" s="61"/>
      <c r="P46" s="61"/>
    </row>
    <row r="47" spans="1:16" ht="15" customHeight="1" x14ac:dyDescent="0.25">
      <c r="A47" s="61"/>
      <c r="B47" s="61"/>
      <c r="C47" s="61"/>
      <c r="D47" s="135"/>
      <c r="E47" s="64"/>
      <c r="F47" s="64"/>
      <c r="G47" s="64"/>
      <c r="H47" s="64"/>
      <c r="I47" s="137" t="str">
        <f t="shared" si="0"/>
        <v/>
      </c>
      <c r="J47" s="137" t="str">
        <f t="shared" si="1"/>
        <v/>
      </c>
      <c r="K47" s="138" t="str">
        <f t="shared" si="2"/>
        <v/>
      </c>
      <c r="L47" s="138" t="str">
        <f t="shared" si="3"/>
        <v/>
      </c>
      <c r="M47" s="61"/>
      <c r="N47" s="61"/>
      <c r="O47" s="61"/>
      <c r="P47" s="61"/>
    </row>
    <row r="48" spans="1:16" ht="15" customHeight="1" x14ac:dyDescent="0.25">
      <c r="A48" s="61"/>
      <c r="B48" s="61"/>
      <c r="C48" s="61"/>
      <c r="D48" s="135"/>
      <c r="E48" s="64"/>
      <c r="F48" s="64"/>
      <c r="G48" s="64"/>
      <c r="H48" s="64"/>
      <c r="I48" s="137" t="str">
        <f t="shared" si="0"/>
        <v/>
      </c>
      <c r="J48" s="137" t="str">
        <f t="shared" si="1"/>
        <v/>
      </c>
      <c r="K48" s="138" t="str">
        <f t="shared" si="2"/>
        <v/>
      </c>
      <c r="L48" s="138" t="str">
        <f t="shared" si="3"/>
        <v/>
      </c>
      <c r="M48" s="61"/>
      <c r="N48" s="61"/>
      <c r="O48" s="61"/>
      <c r="P48" s="61"/>
    </row>
    <row r="49" spans="1:16" ht="15" customHeight="1" x14ac:dyDescent="0.25">
      <c r="A49" s="61"/>
      <c r="B49" s="61"/>
      <c r="C49" s="61"/>
      <c r="D49" s="135"/>
      <c r="E49" s="64"/>
      <c r="F49" s="64"/>
      <c r="G49" s="64"/>
      <c r="H49" s="64"/>
      <c r="I49" s="137" t="str">
        <f t="shared" si="0"/>
        <v/>
      </c>
      <c r="J49" s="137" t="str">
        <f t="shared" si="1"/>
        <v/>
      </c>
      <c r="K49" s="138" t="str">
        <f t="shared" si="2"/>
        <v/>
      </c>
      <c r="L49" s="138" t="str">
        <f t="shared" si="3"/>
        <v/>
      </c>
      <c r="M49" s="61"/>
      <c r="N49" s="61"/>
      <c r="O49" s="61"/>
      <c r="P49" s="61"/>
    </row>
    <row r="50" spans="1:16" ht="15" customHeight="1" x14ac:dyDescent="0.25">
      <c r="A50" s="61"/>
      <c r="B50" s="61"/>
      <c r="C50" s="61"/>
      <c r="D50" s="135"/>
      <c r="E50" s="64"/>
      <c r="F50" s="64"/>
      <c r="G50" s="64"/>
      <c r="H50" s="64"/>
      <c r="I50" s="137" t="str">
        <f t="shared" si="0"/>
        <v/>
      </c>
      <c r="J50" s="137" t="str">
        <f t="shared" si="1"/>
        <v/>
      </c>
      <c r="K50" s="138" t="str">
        <f t="shared" si="2"/>
        <v/>
      </c>
      <c r="L50" s="138" t="str">
        <f t="shared" si="3"/>
        <v/>
      </c>
      <c r="M50" s="61"/>
      <c r="N50" s="61"/>
      <c r="O50" s="61"/>
      <c r="P50" s="61"/>
    </row>
    <row r="51" spans="1:16" ht="15" customHeight="1" x14ac:dyDescent="0.25">
      <c r="A51" s="61"/>
      <c r="B51" s="61"/>
      <c r="C51" s="61"/>
      <c r="D51" s="135"/>
      <c r="E51" s="64"/>
      <c r="F51" s="64"/>
      <c r="G51" s="64"/>
      <c r="H51" s="64"/>
      <c r="I51" s="137" t="str">
        <f t="shared" si="0"/>
        <v/>
      </c>
      <c r="J51" s="137" t="str">
        <f t="shared" si="1"/>
        <v/>
      </c>
      <c r="K51" s="138" t="str">
        <f t="shared" si="2"/>
        <v/>
      </c>
      <c r="L51" s="138" t="str">
        <f t="shared" si="3"/>
        <v/>
      </c>
      <c r="M51" s="61"/>
      <c r="N51" s="61"/>
      <c r="O51" s="61"/>
      <c r="P51" s="61"/>
    </row>
    <row r="52" spans="1:16" ht="15" customHeight="1" x14ac:dyDescent="0.25">
      <c r="A52" s="61"/>
      <c r="B52" s="61"/>
      <c r="C52" s="61"/>
      <c r="D52" s="135"/>
      <c r="E52" s="64"/>
      <c r="F52" s="64"/>
      <c r="G52" s="64"/>
      <c r="H52" s="64"/>
      <c r="I52" s="137" t="str">
        <f t="shared" si="0"/>
        <v/>
      </c>
      <c r="J52" s="137" t="str">
        <f t="shared" si="1"/>
        <v/>
      </c>
      <c r="K52" s="138" t="str">
        <f t="shared" si="2"/>
        <v/>
      </c>
      <c r="L52" s="138" t="str">
        <f t="shared" si="3"/>
        <v/>
      </c>
      <c r="M52" s="61"/>
      <c r="N52" s="61"/>
      <c r="O52" s="61"/>
      <c r="P52" s="61"/>
    </row>
    <row r="53" spans="1:16" ht="15" customHeight="1" x14ac:dyDescent="0.25">
      <c r="A53" s="61"/>
      <c r="B53" s="61"/>
      <c r="C53" s="61"/>
      <c r="D53" s="135"/>
      <c r="E53" s="64"/>
      <c r="F53" s="64"/>
      <c r="G53" s="64"/>
      <c r="H53" s="64"/>
      <c r="I53" s="137" t="str">
        <f t="shared" si="0"/>
        <v/>
      </c>
      <c r="J53" s="137" t="str">
        <f t="shared" si="1"/>
        <v/>
      </c>
      <c r="K53" s="138" t="str">
        <f t="shared" si="2"/>
        <v/>
      </c>
      <c r="L53" s="138" t="str">
        <f t="shared" si="3"/>
        <v/>
      </c>
      <c r="M53" s="61"/>
      <c r="N53" s="61"/>
      <c r="O53" s="61"/>
      <c r="P53" s="61"/>
    </row>
    <row r="54" spans="1:16" ht="15" customHeight="1" x14ac:dyDescent="0.25">
      <c r="A54" s="61"/>
      <c r="B54" s="61"/>
      <c r="C54" s="61"/>
      <c r="D54" s="135"/>
      <c r="E54" s="64"/>
      <c r="F54" s="64"/>
      <c r="G54" s="64"/>
      <c r="H54" s="64"/>
      <c r="I54" s="137" t="str">
        <f t="shared" si="0"/>
        <v/>
      </c>
      <c r="J54" s="137" t="str">
        <f t="shared" si="1"/>
        <v/>
      </c>
      <c r="K54" s="138" t="str">
        <f t="shared" si="2"/>
        <v/>
      </c>
      <c r="L54" s="138" t="str">
        <f t="shared" si="3"/>
        <v/>
      </c>
      <c r="M54" s="61"/>
      <c r="N54" s="61"/>
      <c r="O54" s="61"/>
      <c r="P54" s="61"/>
    </row>
    <row r="55" spans="1:16" ht="15" customHeight="1" x14ac:dyDescent="0.25">
      <c r="A55" s="61"/>
      <c r="B55" s="61"/>
      <c r="C55" s="61"/>
      <c r="D55" s="135"/>
      <c r="E55" s="64"/>
      <c r="F55" s="64"/>
      <c r="G55" s="64"/>
      <c r="H55" s="64"/>
      <c r="I55" s="137" t="str">
        <f t="shared" si="0"/>
        <v/>
      </c>
      <c r="J55" s="137" t="str">
        <f t="shared" si="1"/>
        <v/>
      </c>
      <c r="K55" s="138" t="str">
        <f t="shared" si="2"/>
        <v/>
      </c>
      <c r="L55" s="138" t="str">
        <f t="shared" si="3"/>
        <v/>
      </c>
      <c r="M55" s="61"/>
      <c r="N55" s="61"/>
      <c r="O55" s="61"/>
      <c r="P55" s="61"/>
    </row>
    <row r="56" spans="1:16" ht="15" customHeight="1" x14ac:dyDescent="0.25">
      <c r="A56" s="61"/>
      <c r="B56" s="61"/>
      <c r="C56" s="61"/>
      <c r="D56" s="135"/>
      <c r="E56" s="64"/>
      <c r="F56" s="64"/>
      <c r="G56" s="64"/>
      <c r="H56" s="64"/>
      <c r="I56" s="137" t="str">
        <f t="shared" si="0"/>
        <v/>
      </c>
      <c r="J56" s="137" t="str">
        <f t="shared" si="1"/>
        <v/>
      </c>
      <c r="K56" s="138" t="str">
        <f t="shared" si="2"/>
        <v/>
      </c>
      <c r="L56" s="138" t="str">
        <f t="shared" si="3"/>
        <v/>
      </c>
      <c r="M56" s="61"/>
      <c r="N56" s="61"/>
      <c r="O56" s="61"/>
      <c r="P56" s="61"/>
    </row>
    <row r="57" spans="1:16" ht="15" customHeight="1" x14ac:dyDescent="0.25">
      <c r="A57" s="61"/>
      <c r="B57" s="61"/>
      <c r="C57" s="61"/>
      <c r="D57" s="135"/>
      <c r="E57" s="64"/>
      <c r="F57" s="64"/>
      <c r="G57" s="64"/>
      <c r="H57" s="64"/>
      <c r="I57" s="137" t="str">
        <f t="shared" si="0"/>
        <v/>
      </c>
      <c r="J57" s="137" t="str">
        <f t="shared" si="1"/>
        <v/>
      </c>
      <c r="K57" s="138" t="str">
        <f t="shared" si="2"/>
        <v/>
      </c>
      <c r="L57" s="138" t="str">
        <f t="shared" si="3"/>
        <v/>
      </c>
      <c r="M57" s="61"/>
      <c r="N57" s="61"/>
      <c r="O57" s="61"/>
      <c r="P57" s="61"/>
    </row>
    <row r="58" spans="1:16" ht="15" customHeight="1" x14ac:dyDescent="0.25">
      <c r="A58" s="61"/>
      <c r="B58" s="61"/>
      <c r="C58" s="61"/>
      <c r="D58" s="135"/>
      <c r="E58" s="64"/>
      <c r="F58" s="64"/>
      <c r="G58" s="64"/>
      <c r="H58" s="64"/>
      <c r="I58" s="137" t="str">
        <f t="shared" si="0"/>
        <v/>
      </c>
      <c r="J58" s="137" t="str">
        <f t="shared" si="1"/>
        <v/>
      </c>
      <c r="K58" s="138" t="str">
        <f t="shared" si="2"/>
        <v/>
      </c>
      <c r="L58" s="138" t="str">
        <f t="shared" si="3"/>
        <v/>
      </c>
      <c r="M58" s="61"/>
      <c r="N58" s="61"/>
      <c r="O58" s="61"/>
      <c r="P58" s="61"/>
    </row>
    <row r="59" spans="1:16" ht="15" customHeight="1" x14ac:dyDescent="0.25">
      <c r="A59" s="61"/>
      <c r="B59" s="61"/>
      <c r="C59" s="61"/>
      <c r="D59" s="135"/>
      <c r="E59" s="64"/>
      <c r="F59" s="64"/>
      <c r="G59" s="64"/>
      <c r="H59" s="64"/>
      <c r="I59" s="137" t="str">
        <f t="shared" si="0"/>
        <v/>
      </c>
      <c r="J59" s="137" t="str">
        <f t="shared" si="1"/>
        <v/>
      </c>
      <c r="K59" s="138" t="str">
        <f t="shared" si="2"/>
        <v/>
      </c>
      <c r="L59" s="138" t="str">
        <f t="shared" si="3"/>
        <v/>
      </c>
      <c r="M59" s="61"/>
      <c r="N59" s="61"/>
      <c r="O59" s="61"/>
      <c r="P59" s="61"/>
    </row>
    <row r="60" spans="1:16" ht="15" customHeight="1" x14ac:dyDescent="0.25">
      <c r="A60" s="61"/>
      <c r="B60" s="61"/>
      <c r="C60" s="61"/>
      <c r="D60" s="135"/>
      <c r="E60" s="64"/>
      <c r="F60" s="64"/>
      <c r="G60" s="64"/>
      <c r="H60" s="64"/>
      <c r="I60" s="137" t="str">
        <f t="shared" si="0"/>
        <v/>
      </c>
      <c r="J60" s="137" t="str">
        <f t="shared" si="1"/>
        <v/>
      </c>
      <c r="K60" s="138" t="str">
        <f t="shared" si="2"/>
        <v/>
      </c>
      <c r="L60" s="138" t="str">
        <f t="shared" si="3"/>
        <v/>
      </c>
      <c r="M60" s="61"/>
      <c r="N60" s="61"/>
      <c r="O60" s="61"/>
      <c r="P60" s="61"/>
    </row>
    <row r="61" spans="1:16" ht="15" customHeight="1" x14ac:dyDescent="0.25">
      <c r="A61" s="61"/>
      <c r="B61" s="61"/>
      <c r="C61" s="61"/>
      <c r="D61" s="135"/>
      <c r="E61" s="64"/>
      <c r="F61" s="64"/>
      <c r="G61" s="64"/>
      <c r="H61" s="64"/>
      <c r="I61" s="137" t="str">
        <f t="shared" si="0"/>
        <v/>
      </c>
      <c r="J61" s="137" t="str">
        <f t="shared" si="1"/>
        <v/>
      </c>
      <c r="K61" s="138" t="str">
        <f t="shared" si="2"/>
        <v/>
      </c>
      <c r="L61" s="138" t="str">
        <f t="shared" si="3"/>
        <v/>
      </c>
      <c r="M61" s="61"/>
      <c r="N61" s="61"/>
      <c r="O61" s="61"/>
      <c r="P61" s="61"/>
    </row>
    <row r="62" spans="1:16" ht="15" customHeight="1" x14ac:dyDescent="0.25">
      <c r="A62" s="61"/>
      <c r="B62" s="61"/>
      <c r="C62" s="61"/>
      <c r="D62" s="135"/>
      <c r="E62" s="64"/>
      <c r="F62" s="64"/>
      <c r="G62" s="64"/>
      <c r="H62" s="64"/>
      <c r="I62" s="137" t="str">
        <f t="shared" si="0"/>
        <v/>
      </c>
      <c r="J62" s="137" t="str">
        <f t="shared" si="1"/>
        <v/>
      </c>
      <c r="K62" s="138" t="str">
        <f t="shared" si="2"/>
        <v/>
      </c>
      <c r="L62" s="138" t="str">
        <f t="shared" si="3"/>
        <v/>
      </c>
      <c r="M62" s="61"/>
      <c r="N62" s="61"/>
      <c r="O62" s="61"/>
      <c r="P62" s="61"/>
    </row>
    <row r="63" spans="1:16" ht="15" customHeight="1" x14ac:dyDescent="0.25">
      <c r="A63" s="61"/>
      <c r="B63" s="61"/>
      <c r="C63" s="61"/>
      <c r="D63" s="135"/>
      <c r="E63" s="64"/>
      <c r="F63" s="64"/>
      <c r="G63" s="64"/>
      <c r="H63" s="64"/>
      <c r="I63" s="137" t="str">
        <f t="shared" si="0"/>
        <v/>
      </c>
      <c r="J63" s="137" t="str">
        <f t="shared" si="1"/>
        <v/>
      </c>
      <c r="K63" s="138" t="str">
        <f t="shared" si="2"/>
        <v/>
      </c>
      <c r="L63" s="138" t="str">
        <f t="shared" si="3"/>
        <v/>
      </c>
      <c r="M63" s="61"/>
      <c r="N63" s="61"/>
      <c r="O63" s="61"/>
      <c r="P63" s="61"/>
    </row>
    <row r="64" spans="1:16" ht="15" customHeight="1" x14ac:dyDescent="0.25">
      <c r="A64" s="61"/>
      <c r="B64" s="61"/>
      <c r="C64" s="61"/>
      <c r="D64" s="135"/>
      <c r="E64" s="64"/>
      <c r="F64" s="64"/>
      <c r="G64" s="64"/>
      <c r="H64" s="64"/>
      <c r="I64" s="137" t="str">
        <f t="shared" si="0"/>
        <v/>
      </c>
      <c r="J64" s="137" t="str">
        <f t="shared" si="1"/>
        <v/>
      </c>
      <c r="K64" s="138" t="str">
        <f t="shared" si="2"/>
        <v/>
      </c>
      <c r="L64" s="138" t="str">
        <f t="shared" si="3"/>
        <v/>
      </c>
      <c r="M64" s="61"/>
      <c r="N64" s="61"/>
      <c r="O64" s="61"/>
      <c r="P64" s="61"/>
    </row>
    <row r="65" spans="1:16" ht="15" customHeight="1" x14ac:dyDescent="0.25">
      <c r="A65" s="61"/>
      <c r="B65" s="61"/>
      <c r="C65" s="61"/>
      <c r="D65" s="135"/>
      <c r="E65" s="64"/>
      <c r="F65" s="64"/>
      <c r="G65" s="64"/>
      <c r="H65" s="64"/>
      <c r="I65" s="137" t="str">
        <f t="shared" si="0"/>
        <v/>
      </c>
      <c r="J65" s="137" t="str">
        <f t="shared" si="1"/>
        <v/>
      </c>
      <c r="K65" s="138" t="str">
        <f t="shared" si="2"/>
        <v/>
      </c>
      <c r="L65" s="138" t="str">
        <f t="shared" si="3"/>
        <v/>
      </c>
      <c r="M65" s="61"/>
      <c r="N65" s="61"/>
      <c r="O65" s="61"/>
      <c r="P65" s="61"/>
    </row>
    <row r="66" spans="1:16" ht="15" customHeight="1" x14ac:dyDescent="0.25">
      <c r="A66" s="61"/>
      <c r="B66" s="61"/>
      <c r="C66" s="61"/>
      <c r="D66" s="135"/>
      <c r="E66" s="64"/>
      <c r="F66" s="64"/>
      <c r="G66" s="64"/>
      <c r="H66" s="64"/>
      <c r="I66" s="137" t="str">
        <f t="shared" si="0"/>
        <v/>
      </c>
      <c r="J66" s="137" t="str">
        <f t="shared" si="1"/>
        <v/>
      </c>
      <c r="K66" s="138" t="str">
        <f t="shared" si="2"/>
        <v/>
      </c>
      <c r="L66" s="138" t="str">
        <f t="shared" si="3"/>
        <v/>
      </c>
      <c r="M66" s="61"/>
      <c r="N66" s="61"/>
      <c r="O66" s="61"/>
      <c r="P66" s="61"/>
    </row>
    <row r="67" spans="1:16" ht="15" customHeight="1" x14ac:dyDescent="0.25">
      <c r="A67" s="61"/>
      <c r="B67" s="61"/>
      <c r="C67" s="61"/>
      <c r="D67" s="135"/>
      <c r="E67" s="64"/>
      <c r="F67" s="64"/>
      <c r="G67" s="64"/>
      <c r="H67" s="64"/>
      <c r="I67" s="137" t="str">
        <f t="shared" ref="I67:I130" si="4">IFERROR(IF(E67="","",E67*F67*H67/1000000),"")</f>
        <v/>
      </c>
      <c r="J67" s="137" t="str">
        <f t="shared" ref="J67:J130" si="5">IFERROR(IF(E67="","",(E67+F67)*H67/1000),"")</f>
        <v/>
      </c>
      <c r="K67" s="138" t="str">
        <f t="shared" ref="K67:K130" si="6">IFERROR(IF(D67="","",VLOOKUP(D67,Materials_Table,6,FALSE())),"")</f>
        <v/>
      </c>
      <c r="L67" s="138" t="str">
        <f t="shared" ref="L67:L130" si="7">IFERROR(IF(OR(I67="",K67=""),"",I67*K67),"")</f>
        <v/>
      </c>
      <c r="M67" s="61"/>
      <c r="N67" s="61"/>
      <c r="O67" s="61"/>
      <c r="P67" s="61"/>
    </row>
    <row r="68" spans="1:16" ht="15" customHeight="1" x14ac:dyDescent="0.25">
      <c r="A68" s="61"/>
      <c r="B68" s="61"/>
      <c r="C68" s="61"/>
      <c r="D68" s="135"/>
      <c r="E68" s="64"/>
      <c r="F68" s="64"/>
      <c r="G68" s="64"/>
      <c r="H68" s="64"/>
      <c r="I68" s="137" t="str">
        <f t="shared" si="4"/>
        <v/>
      </c>
      <c r="J68" s="137" t="str">
        <f t="shared" si="5"/>
        <v/>
      </c>
      <c r="K68" s="138" t="str">
        <f t="shared" si="6"/>
        <v/>
      </c>
      <c r="L68" s="138" t="str">
        <f t="shared" si="7"/>
        <v/>
      </c>
      <c r="M68" s="61"/>
      <c r="N68" s="61"/>
      <c r="O68" s="61"/>
      <c r="P68" s="61"/>
    </row>
    <row r="69" spans="1:16" ht="15" customHeight="1" x14ac:dyDescent="0.25">
      <c r="A69" s="61"/>
      <c r="B69" s="61"/>
      <c r="C69" s="61"/>
      <c r="D69" s="135"/>
      <c r="E69" s="64"/>
      <c r="F69" s="64"/>
      <c r="G69" s="64"/>
      <c r="H69" s="64"/>
      <c r="I69" s="137" t="str">
        <f t="shared" si="4"/>
        <v/>
      </c>
      <c r="J69" s="137" t="str">
        <f t="shared" si="5"/>
        <v/>
      </c>
      <c r="K69" s="138" t="str">
        <f t="shared" si="6"/>
        <v/>
      </c>
      <c r="L69" s="138" t="str">
        <f t="shared" si="7"/>
        <v/>
      </c>
      <c r="M69" s="61"/>
      <c r="N69" s="61"/>
      <c r="O69" s="61"/>
      <c r="P69" s="61"/>
    </row>
    <row r="70" spans="1:16" ht="15" customHeight="1" x14ac:dyDescent="0.25">
      <c r="A70" s="61"/>
      <c r="B70" s="61"/>
      <c r="C70" s="61"/>
      <c r="D70" s="135"/>
      <c r="E70" s="64"/>
      <c r="F70" s="64"/>
      <c r="G70" s="64"/>
      <c r="H70" s="64"/>
      <c r="I70" s="137" t="str">
        <f t="shared" si="4"/>
        <v/>
      </c>
      <c r="J70" s="137" t="str">
        <f t="shared" si="5"/>
        <v/>
      </c>
      <c r="K70" s="138" t="str">
        <f t="shared" si="6"/>
        <v/>
      </c>
      <c r="L70" s="138" t="str">
        <f t="shared" si="7"/>
        <v/>
      </c>
      <c r="M70" s="61"/>
      <c r="N70" s="61"/>
      <c r="O70" s="61"/>
      <c r="P70" s="61"/>
    </row>
    <row r="71" spans="1:16" ht="15" customHeight="1" x14ac:dyDescent="0.25">
      <c r="A71" s="61"/>
      <c r="B71" s="61"/>
      <c r="C71" s="61"/>
      <c r="D71" s="135"/>
      <c r="E71" s="64"/>
      <c r="F71" s="64"/>
      <c r="G71" s="64"/>
      <c r="H71" s="64"/>
      <c r="I71" s="137" t="str">
        <f t="shared" si="4"/>
        <v/>
      </c>
      <c r="J71" s="137" t="str">
        <f t="shared" si="5"/>
        <v/>
      </c>
      <c r="K71" s="138" t="str">
        <f t="shared" si="6"/>
        <v/>
      </c>
      <c r="L71" s="138" t="str">
        <f t="shared" si="7"/>
        <v/>
      </c>
      <c r="M71" s="61"/>
      <c r="N71" s="61"/>
      <c r="O71" s="61"/>
      <c r="P71" s="61"/>
    </row>
    <row r="72" spans="1:16" ht="15" customHeight="1" x14ac:dyDescent="0.25">
      <c r="A72" s="61"/>
      <c r="B72" s="61"/>
      <c r="C72" s="61"/>
      <c r="D72" s="135"/>
      <c r="E72" s="64"/>
      <c r="F72" s="64"/>
      <c r="G72" s="64"/>
      <c r="H72" s="64"/>
      <c r="I72" s="137" t="str">
        <f t="shared" si="4"/>
        <v/>
      </c>
      <c r="J72" s="137" t="str">
        <f t="shared" si="5"/>
        <v/>
      </c>
      <c r="K72" s="138" t="str">
        <f t="shared" si="6"/>
        <v/>
      </c>
      <c r="L72" s="138" t="str">
        <f t="shared" si="7"/>
        <v/>
      </c>
      <c r="M72" s="61"/>
      <c r="N72" s="61"/>
      <c r="O72" s="61"/>
      <c r="P72" s="61"/>
    </row>
    <row r="73" spans="1:16" ht="15" customHeight="1" x14ac:dyDescent="0.25">
      <c r="A73" s="61"/>
      <c r="B73" s="61"/>
      <c r="C73" s="61"/>
      <c r="D73" s="135"/>
      <c r="E73" s="64"/>
      <c r="F73" s="64"/>
      <c r="G73" s="64"/>
      <c r="H73" s="64"/>
      <c r="I73" s="137" t="str">
        <f t="shared" si="4"/>
        <v/>
      </c>
      <c r="J73" s="137" t="str">
        <f t="shared" si="5"/>
        <v/>
      </c>
      <c r="K73" s="138" t="str">
        <f t="shared" si="6"/>
        <v/>
      </c>
      <c r="L73" s="138" t="str">
        <f t="shared" si="7"/>
        <v/>
      </c>
      <c r="M73" s="61"/>
      <c r="N73" s="61"/>
      <c r="O73" s="61"/>
      <c r="P73" s="61"/>
    </row>
    <row r="74" spans="1:16" ht="15" customHeight="1" x14ac:dyDescent="0.25">
      <c r="A74" s="61"/>
      <c r="B74" s="61"/>
      <c r="C74" s="61"/>
      <c r="D74" s="135"/>
      <c r="E74" s="64"/>
      <c r="F74" s="64"/>
      <c r="G74" s="64"/>
      <c r="H74" s="64"/>
      <c r="I74" s="137" t="str">
        <f t="shared" si="4"/>
        <v/>
      </c>
      <c r="J74" s="137" t="str">
        <f t="shared" si="5"/>
        <v/>
      </c>
      <c r="K74" s="138" t="str">
        <f t="shared" si="6"/>
        <v/>
      </c>
      <c r="L74" s="138" t="str">
        <f t="shared" si="7"/>
        <v/>
      </c>
      <c r="M74" s="61"/>
      <c r="N74" s="61"/>
      <c r="O74" s="61"/>
      <c r="P74" s="61"/>
    </row>
    <row r="75" spans="1:16" ht="15" customHeight="1" x14ac:dyDescent="0.25">
      <c r="A75" s="61"/>
      <c r="B75" s="61"/>
      <c r="C75" s="61"/>
      <c r="D75" s="135"/>
      <c r="E75" s="64"/>
      <c r="F75" s="64"/>
      <c r="G75" s="64"/>
      <c r="H75" s="64"/>
      <c r="I75" s="137" t="str">
        <f t="shared" si="4"/>
        <v/>
      </c>
      <c r="J75" s="137" t="str">
        <f t="shared" si="5"/>
        <v/>
      </c>
      <c r="K75" s="138" t="str">
        <f t="shared" si="6"/>
        <v/>
      </c>
      <c r="L75" s="138" t="str">
        <f t="shared" si="7"/>
        <v/>
      </c>
      <c r="M75" s="61"/>
      <c r="N75" s="61"/>
      <c r="O75" s="61"/>
      <c r="P75" s="61"/>
    </row>
    <row r="76" spans="1:16" ht="15" customHeight="1" x14ac:dyDescent="0.25">
      <c r="A76" s="61"/>
      <c r="B76" s="61"/>
      <c r="C76" s="61"/>
      <c r="D76" s="135"/>
      <c r="E76" s="64"/>
      <c r="F76" s="64"/>
      <c r="G76" s="64"/>
      <c r="H76" s="64"/>
      <c r="I76" s="137" t="str">
        <f t="shared" si="4"/>
        <v/>
      </c>
      <c r="J76" s="137" t="str">
        <f t="shared" si="5"/>
        <v/>
      </c>
      <c r="K76" s="138" t="str">
        <f t="shared" si="6"/>
        <v/>
      </c>
      <c r="L76" s="138" t="str">
        <f t="shared" si="7"/>
        <v/>
      </c>
      <c r="M76" s="61"/>
      <c r="N76" s="61"/>
      <c r="O76" s="61"/>
      <c r="P76" s="61"/>
    </row>
    <row r="77" spans="1:16" ht="15" customHeight="1" x14ac:dyDescent="0.25">
      <c r="A77" s="61"/>
      <c r="B77" s="61"/>
      <c r="C77" s="61"/>
      <c r="D77" s="135"/>
      <c r="E77" s="64"/>
      <c r="F77" s="64"/>
      <c r="G77" s="64"/>
      <c r="H77" s="64"/>
      <c r="I77" s="137" t="str">
        <f t="shared" si="4"/>
        <v/>
      </c>
      <c r="J77" s="137" t="str">
        <f t="shared" si="5"/>
        <v/>
      </c>
      <c r="K77" s="138" t="str">
        <f t="shared" si="6"/>
        <v/>
      </c>
      <c r="L77" s="138" t="str">
        <f t="shared" si="7"/>
        <v/>
      </c>
      <c r="M77" s="61"/>
      <c r="N77" s="61"/>
      <c r="O77" s="61"/>
      <c r="P77" s="61"/>
    </row>
    <row r="78" spans="1:16" ht="15" customHeight="1" x14ac:dyDescent="0.25">
      <c r="A78" s="61"/>
      <c r="B78" s="61"/>
      <c r="C78" s="61"/>
      <c r="D78" s="135"/>
      <c r="E78" s="64"/>
      <c r="F78" s="64"/>
      <c r="G78" s="64"/>
      <c r="H78" s="64"/>
      <c r="I78" s="137" t="str">
        <f t="shared" si="4"/>
        <v/>
      </c>
      <c r="J78" s="137" t="str">
        <f t="shared" si="5"/>
        <v/>
      </c>
      <c r="K78" s="138" t="str">
        <f t="shared" si="6"/>
        <v/>
      </c>
      <c r="L78" s="138" t="str">
        <f t="shared" si="7"/>
        <v/>
      </c>
      <c r="M78" s="61"/>
      <c r="N78" s="61"/>
      <c r="O78" s="61"/>
      <c r="P78" s="61"/>
    </row>
    <row r="79" spans="1:16" ht="15" customHeight="1" x14ac:dyDescent="0.25">
      <c r="A79" s="61"/>
      <c r="B79" s="61"/>
      <c r="C79" s="61"/>
      <c r="D79" s="135"/>
      <c r="E79" s="64"/>
      <c r="F79" s="64"/>
      <c r="G79" s="64"/>
      <c r="H79" s="64"/>
      <c r="I79" s="137" t="str">
        <f t="shared" si="4"/>
        <v/>
      </c>
      <c r="J79" s="137" t="str">
        <f t="shared" si="5"/>
        <v/>
      </c>
      <c r="K79" s="138" t="str">
        <f t="shared" si="6"/>
        <v/>
      </c>
      <c r="L79" s="138" t="str">
        <f t="shared" si="7"/>
        <v/>
      </c>
      <c r="M79" s="61"/>
      <c r="N79" s="61"/>
      <c r="O79" s="61"/>
      <c r="P79" s="61"/>
    </row>
    <row r="80" spans="1:16" ht="15" customHeight="1" x14ac:dyDescent="0.25">
      <c r="A80" s="61"/>
      <c r="B80" s="61"/>
      <c r="C80" s="61"/>
      <c r="D80" s="135"/>
      <c r="E80" s="64"/>
      <c r="F80" s="64"/>
      <c r="G80" s="64"/>
      <c r="H80" s="64"/>
      <c r="I80" s="137" t="str">
        <f t="shared" si="4"/>
        <v/>
      </c>
      <c r="J80" s="137" t="str">
        <f t="shared" si="5"/>
        <v/>
      </c>
      <c r="K80" s="138" t="str">
        <f t="shared" si="6"/>
        <v/>
      </c>
      <c r="L80" s="138" t="str">
        <f t="shared" si="7"/>
        <v/>
      </c>
      <c r="M80" s="61"/>
      <c r="N80" s="61"/>
      <c r="O80" s="61"/>
      <c r="P80" s="61"/>
    </row>
    <row r="81" spans="1:16" ht="15" customHeight="1" x14ac:dyDescent="0.25">
      <c r="A81" s="61"/>
      <c r="B81" s="61"/>
      <c r="C81" s="61"/>
      <c r="D81" s="135"/>
      <c r="E81" s="64"/>
      <c r="F81" s="64"/>
      <c r="G81" s="64"/>
      <c r="H81" s="64"/>
      <c r="I81" s="137" t="str">
        <f t="shared" si="4"/>
        <v/>
      </c>
      <c r="J81" s="137" t="str">
        <f t="shared" si="5"/>
        <v/>
      </c>
      <c r="K81" s="138" t="str">
        <f t="shared" si="6"/>
        <v/>
      </c>
      <c r="L81" s="138" t="str">
        <f t="shared" si="7"/>
        <v/>
      </c>
      <c r="M81" s="61"/>
      <c r="N81" s="61"/>
      <c r="O81" s="61"/>
      <c r="P81" s="61"/>
    </row>
    <row r="82" spans="1:16" ht="15" customHeight="1" x14ac:dyDescent="0.25">
      <c r="A82" s="61"/>
      <c r="B82" s="61"/>
      <c r="C82" s="61"/>
      <c r="D82" s="135"/>
      <c r="E82" s="64"/>
      <c r="F82" s="64"/>
      <c r="G82" s="64"/>
      <c r="H82" s="64"/>
      <c r="I82" s="137" t="str">
        <f t="shared" si="4"/>
        <v/>
      </c>
      <c r="J82" s="137" t="str">
        <f t="shared" si="5"/>
        <v/>
      </c>
      <c r="K82" s="138" t="str">
        <f t="shared" si="6"/>
        <v/>
      </c>
      <c r="L82" s="138" t="str">
        <f t="shared" si="7"/>
        <v/>
      </c>
      <c r="M82" s="61"/>
      <c r="N82" s="61"/>
      <c r="O82" s="61"/>
      <c r="P82" s="61"/>
    </row>
    <row r="83" spans="1:16" ht="15" customHeight="1" x14ac:dyDescent="0.25">
      <c r="A83" s="61"/>
      <c r="B83" s="61"/>
      <c r="C83" s="61"/>
      <c r="D83" s="135"/>
      <c r="E83" s="64"/>
      <c r="F83" s="64"/>
      <c r="G83" s="64"/>
      <c r="H83" s="64"/>
      <c r="I83" s="137" t="str">
        <f t="shared" si="4"/>
        <v/>
      </c>
      <c r="J83" s="137" t="str">
        <f t="shared" si="5"/>
        <v/>
      </c>
      <c r="K83" s="138" t="str">
        <f t="shared" si="6"/>
        <v/>
      </c>
      <c r="L83" s="138" t="str">
        <f t="shared" si="7"/>
        <v/>
      </c>
      <c r="M83" s="61"/>
      <c r="N83" s="61"/>
      <c r="O83" s="61"/>
      <c r="P83" s="61"/>
    </row>
    <row r="84" spans="1:16" ht="15" customHeight="1" x14ac:dyDescent="0.25">
      <c r="A84" s="61"/>
      <c r="B84" s="61"/>
      <c r="C84" s="61"/>
      <c r="D84" s="135"/>
      <c r="E84" s="64"/>
      <c r="F84" s="64"/>
      <c r="G84" s="64"/>
      <c r="H84" s="64"/>
      <c r="I84" s="137" t="str">
        <f t="shared" si="4"/>
        <v/>
      </c>
      <c r="J84" s="137" t="str">
        <f t="shared" si="5"/>
        <v/>
      </c>
      <c r="K84" s="138" t="str">
        <f t="shared" si="6"/>
        <v/>
      </c>
      <c r="L84" s="138" t="str">
        <f t="shared" si="7"/>
        <v/>
      </c>
      <c r="M84" s="61"/>
      <c r="N84" s="61"/>
      <c r="O84" s="61"/>
      <c r="P84" s="61"/>
    </row>
    <row r="85" spans="1:16" ht="15" customHeight="1" x14ac:dyDescent="0.25">
      <c r="A85" s="61"/>
      <c r="B85" s="61"/>
      <c r="C85" s="61"/>
      <c r="D85" s="135"/>
      <c r="E85" s="64"/>
      <c r="F85" s="64"/>
      <c r="G85" s="64"/>
      <c r="H85" s="64"/>
      <c r="I85" s="137" t="str">
        <f t="shared" si="4"/>
        <v/>
      </c>
      <c r="J85" s="137" t="str">
        <f t="shared" si="5"/>
        <v/>
      </c>
      <c r="K85" s="138" t="str">
        <f t="shared" si="6"/>
        <v/>
      </c>
      <c r="L85" s="138" t="str">
        <f t="shared" si="7"/>
        <v/>
      </c>
      <c r="M85" s="61"/>
      <c r="N85" s="61"/>
      <c r="O85" s="61"/>
      <c r="P85" s="61"/>
    </row>
    <row r="86" spans="1:16" ht="15" customHeight="1" x14ac:dyDescent="0.25">
      <c r="A86" s="61"/>
      <c r="B86" s="61"/>
      <c r="C86" s="61"/>
      <c r="D86" s="135"/>
      <c r="E86" s="64"/>
      <c r="F86" s="64"/>
      <c r="G86" s="64"/>
      <c r="H86" s="64"/>
      <c r="I86" s="137" t="str">
        <f t="shared" si="4"/>
        <v/>
      </c>
      <c r="J86" s="137" t="str">
        <f t="shared" si="5"/>
        <v/>
      </c>
      <c r="K86" s="138" t="str">
        <f t="shared" si="6"/>
        <v/>
      </c>
      <c r="L86" s="138" t="str">
        <f t="shared" si="7"/>
        <v/>
      </c>
      <c r="M86" s="61"/>
      <c r="N86" s="61"/>
      <c r="O86" s="61"/>
      <c r="P86" s="61"/>
    </row>
    <row r="87" spans="1:16" ht="15" customHeight="1" x14ac:dyDescent="0.25">
      <c r="A87" s="61"/>
      <c r="B87" s="61"/>
      <c r="C87" s="61"/>
      <c r="D87" s="135"/>
      <c r="E87" s="64"/>
      <c r="F87" s="64"/>
      <c r="G87" s="64"/>
      <c r="H87" s="64"/>
      <c r="I87" s="137" t="str">
        <f t="shared" si="4"/>
        <v/>
      </c>
      <c r="J87" s="137" t="str">
        <f t="shared" si="5"/>
        <v/>
      </c>
      <c r="K87" s="138" t="str">
        <f t="shared" si="6"/>
        <v/>
      </c>
      <c r="L87" s="138" t="str">
        <f t="shared" si="7"/>
        <v/>
      </c>
      <c r="M87" s="61"/>
      <c r="N87" s="61"/>
      <c r="O87" s="61"/>
      <c r="P87" s="61"/>
    </row>
    <row r="88" spans="1:16" ht="15" customHeight="1" x14ac:dyDescent="0.25">
      <c r="A88" s="61"/>
      <c r="B88" s="61"/>
      <c r="C88" s="61"/>
      <c r="D88" s="135"/>
      <c r="E88" s="64"/>
      <c r="F88" s="64"/>
      <c r="G88" s="64"/>
      <c r="H88" s="64"/>
      <c r="I88" s="137" t="str">
        <f t="shared" si="4"/>
        <v/>
      </c>
      <c r="J88" s="137" t="str">
        <f t="shared" si="5"/>
        <v/>
      </c>
      <c r="K88" s="138" t="str">
        <f t="shared" si="6"/>
        <v/>
      </c>
      <c r="L88" s="138" t="str">
        <f t="shared" si="7"/>
        <v/>
      </c>
      <c r="M88" s="61"/>
      <c r="N88" s="61"/>
      <c r="O88" s="61"/>
      <c r="P88" s="61"/>
    </row>
    <row r="89" spans="1:16" ht="15" customHeight="1" x14ac:dyDescent="0.25">
      <c r="A89" s="61"/>
      <c r="B89" s="61"/>
      <c r="C89" s="61"/>
      <c r="D89" s="135"/>
      <c r="E89" s="64"/>
      <c r="F89" s="64"/>
      <c r="G89" s="64"/>
      <c r="H89" s="64"/>
      <c r="I89" s="137" t="str">
        <f t="shared" si="4"/>
        <v/>
      </c>
      <c r="J89" s="137" t="str">
        <f t="shared" si="5"/>
        <v/>
      </c>
      <c r="K89" s="138" t="str">
        <f t="shared" si="6"/>
        <v/>
      </c>
      <c r="L89" s="138" t="str">
        <f t="shared" si="7"/>
        <v/>
      </c>
      <c r="M89" s="61"/>
      <c r="N89" s="61"/>
      <c r="O89" s="61"/>
      <c r="P89" s="61"/>
    </row>
    <row r="90" spans="1:16" ht="15" customHeight="1" x14ac:dyDescent="0.25">
      <c r="A90" s="61"/>
      <c r="B90" s="61"/>
      <c r="C90" s="61"/>
      <c r="D90" s="135"/>
      <c r="E90" s="64"/>
      <c r="F90" s="64"/>
      <c r="G90" s="64"/>
      <c r="H90" s="64"/>
      <c r="I90" s="137" t="str">
        <f t="shared" si="4"/>
        <v/>
      </c>
      <c r="J90" s="137" t="str">
        <f t="shared" si="5"/>
        <v/>
      </c>
      <c r="K90" s="138" t="str">
        <f t="shared" si="6"/>
        <v/>
      </c>
      <c r="L90" s="138" t="str">
        <f t="shared" si="7"/>
        <v/>
      </c>
      <c r="M90" s="61"/>
      <c r="N90" s="61"/>
      <c r="O90" s="61"/>
      <c r="P90" s="61"/>
    </row>
    <row r="91" spans="1:16" ht="15" customHeight="1" x14ac:dyDescent="0.25">
      <c r="A91" s="61"/>
      <c r="B91" s="61"/>
      <c r="C91" s="61"/>
      <c r="D91" s="135"/>
      <c r="E91" s="64"/>
      <c r="F91" s="64"/>
      <c r="G91" s="64"/>
      <c r="H91" s="64"/>
      <c r="I91" s="137" t="str">
        <f t="shared" si="4"/>
        <v/>
      </c>
      <c r="J91" s="137" t="str">
        <f t="shared" si="5"/>
        <v/>
      </c>
      <c r="K91" s="138" t="str">
        <f t="shared" si="6"/>
        <v/>
      </c>
      <c r="L91" s="138" t="str">
        <f t="shared" si="7"/>
        <v/>
      </c>
      <c r="M91" s="61"/>
      <c r="N91" s="61"/>
      <c r="O91" s="61"/>
      <c r="P91" s="61"/>
    </row>
    <row r="92" spans="1:16" ht="15" customHeight="1" x14ac:dyDescent="0.25">
      <c r="A92" s="61"/>
      <c r="B92" s="61"/>
      <c r="C92" s="61"/>
      <c r="D92" s="135"/>
      <c r="E92" s="64"/>
      <c r="F92" s="64"/>
      <c r="G92" s="64"/>
      <c r="H92" s="64"/>
      <c r="I92" s="137" t="str">
        <f t="shared" si="4"/>
        <v/>
      </c>
      <c r="J92" s="137" t="str">
        <f t="shared" si="5"/>
        <v/>
      </c>
      <c r="K92" s="138" t="str">
        <f t="shared" si="6"/>
        <v/>
      </c>
      <c r="L92" s="138" t="str">
        <f t="shared" si="7"/>
        <v/>
      </c>
      <c r="M92" s="61"/>
      <c r="N92" s="61"/>
      <c r="O92" s="61"/>
      <c r="P92" s="61"/>
    </row>
    <row r="93" spans="1:16" ht="15" customHeight="1" x14ac:dyDescent="0.25">
      <c r="A93" s="61"/>
      <c r="B93" s="61"/>
      <c r="C93" s="61"/>
      <c r="D93" s="135"/>
      <c r="E93" s="64"/>
      <c r="F93" s="64"/>
      <c r="G93" s="64"/>
      <c r="H93" s="64"/>
      <c r="I93" s="137" t="str">
        <f t="shared" si="4"/>
        <v/>
      </c>
      <c r="J93" s="137" t="str">
        <f t="shared" si="5"/>
        <v/>
      </c>
      <c r="K93" s="138" t="str">
        <f t="shared" si="6"/>
        <v/>
      </c>
      <c r="L93" s="138" t="str">
        <f t="shared" si="7"/>
        <v/>
      </c>
      <c r="M93" s="61"/>
      <c r="N93" s="61"/>
      <c r="O93" s="61"/>
      <c r="P93" s="61"/>
    </row>
    <row r="94" spans="1:16" ht="15" customHeight="1" x14ac:dyDescent="0.25">
      <c r="A94" s="61"/>
      <c r="B94" s="61"/>
      <c r="C94" s="61"/>
      <c r="D94" s="135"/>
      <c r="E94" s="64"/>
      <c r="F94" s="64"/>
      <c r="G94" s="64"/>
      <c r="H94" s="64"/>
      <c r="I94" s="137" t="str">
        <f t="shared" si="4"/>
        <v/>
      </c>
      <c r="J94" s="137" t="str">
        <f t="shared" si="5"/>
        <v/>
      </c>
      <c r="K94" s="138" t="str">
        <f t="shared" si="6"/>
        <v/>
      </c>
      <c r="L94" s="138" t="str">
        <f t="shared" si="7"/>
        <v/>
      </c>
      <c r="M94" s="61"/>
      <c r="N94" s="61"/>
      <c r="O94" s="61"/>
      <c r="P94" s="61"/>
    </row>
    <row r="95" spans="1:16" ht="15" customHeight="1" x14ac:dyDescent="0.25">
      <c r="A95" s="61"/>
      <c r="B95" s="61"/>
      <c r="C95" s="61"/>
      <c r="D95" s="135"/>
      <c r="E95" s="64"/>
      <c r="F95" s="64"/>
      <c r="G95" s="64"/>
      <c r="H95" s="64"/>
      <c r="I95" s="137" t="str">
        <f t="shared" si="4"/>
        <v/>
      </c>
      <c r="J95" s="137" t="str">
        <f t="shared" si="5"/>
        <v/>
      </c>
      <c r="K95" s="138" t="str">
        <f t="shared" si="6"/>
        <v/>
      </c>
      <c r="L95" s="138" t="str">
        <f t="shared" si="7"/>
        <v/>
      </c>
      <c r="M95" s="61"/>
      <c r="N95" s="61"/>
      <c r="O95" s="61"/>
      <c r="P95" s="61"/>
    </row>
    <row r="96" spans="1:16" ht="15" customHeight="1" x14ac:dyDescent="0.25">
      <c r="A96" s="61"/>
      <c r="B96" s="61"/>
      <c r="C96" s="61"/>
      <c r="D96" s="135"/>
      <c r="E96" s="64"/>
      <c r="F96" s="64"/>
      <c r="G96" s="64"/>
      <c r="H96" s="64"/>
      <c r="I96" s="137" t="str">
        <f t="shared" si="4"/>
        <v/>
      </c>
      <c r="J96" s="137" t="str">
        <f t="shared" si="5"/>
        <v/>
      </c>
      <c r="K96" s="138" t="str">
        <f t="shared" si="6"/>
        <v/>
      </c>
      <c r="L96" s="138" t="str">
        <f t="shared" si="7"/>
        <v/>
      </c>
      <c r="M96" s="61"/>
      <c r="N96" s="61"/>
      <c r="O96" s="61"/>
      <c r="P96" s="61"/>
    </row>
    <row r="97" spans="1:16" ht="15" customHeight="1" x14ac:dyDescent="0.25">
      <c r="A97" s="61"/>
      <c r="B97" s="61"/>
      <c r="C97" s="61"/>
      <c r="D97" s="135"/>
      <c r="E97" s="64"/>
      <c r="F97" s="64"/>
      <c r="G97" s="64"/>
      <c r="H97" s="64"/>
      <c r="I97" s="137" t="str">
        <f t="shared" si="4"/>
        <v/>
      </c>
      <c r="J97" s="137" t="str">
        <f t="shared" si="5"/>
        <v/>
      </c>
      <c r="K97" s="138" t="str">
        <f t="shared" si="6"/>
        <v/>
      </c>
      <c r="L97" s="138" t="str">
        <f t="shared" si="7"/>
        <v/>
      </c>
      <c r="M97" s="61"/>
      <c r="N97" s="61"/>
      <c r="O97" s="61"/>
      <c r="P97" s="61"/>
    </row>
    <row r="98" spans="1:16" ht="15" customHeight="1" x14ac:dyDescent="0.25">
      <c r="A98" s="61"/>
      <c r="B98" s="61"/>
      <c r="C98" s="61"/>
      <c r="D98" s="135"/>
      <c r="E98" s="64"/>
      <c r="F98" s="64"/>
      <c r="G98" s="64"/>
      <c r="H98" s="64"/>
      <c r="I98" s="137" t="str">
        <f t="shared" si="4"/>
        <v/>
      </c>
      <c r="J98" s="137" t="str">
        <f t="shared" si="5"/>
        <v/>
      </c>
      <c r="K98" s="138" t="str">
        <f t="shared" si="6"/>
        <v/>
      </c>
      <c r="L98" s="138" t="str">
        <f t="shared" si="7"/>
        <v/>
      </c>
      <c r="M98" s="61"/>
      <c r="N98" s="61"/>
      <c r="O98" s="61"/>
      <c r="P98" s="61"/>
    </row>
    <row r="99" spans="1:16" ht="15" customHeight="1" x14ac:dyDescent="0.25">
      <c r="A99" s="61"/>
      <c r="B99" s="61"/>
      <c r="C99" s="61"/>
      <c r="D99" s="135"/>
      <c r="E99" s="64"/>
      <c r="F99" s="64"/>
      <c r="G99" s="64"/>
      <c r="H99" s="64"/>
      <c r="I99" s="137" t="str">
        <f t="shared" si="4"/>
        <v/>
      </c>
      <c r="J99" s="137" t="str">
        <f t="shared" si="5"/>
        <v/>
      </c>
      <c r="K99" s="138" t="str">
        <f t="shared" si="6"/>
        <v/>
      </c>
      <c r="L99" s="138" t="str">
        <f t="shared" si="7"/>
        <v/>
      </c>
      <c r="M99" s="61"/>
      <c r="N99" s="61"/>
      <c r="O99" s="61"/>
      <c r="P99" s="61"/>
    </row>
    <row r="100" spans="1:16" ht="15" customHeight="1" x14ac:dyDescent="0.25">
      <c r="A100" s="61"/>
      <c r="B100" s="61"/>
      <c r="C100" s="61"/>
      <c r="D100" s="135"/>
      <c r="E100" s="64"/>
      <c r="F100" s="64"/>
      <c r="G100" s="64"/>
      <c r="H100" s="64"/>
      <c r="I100" s="137" t="str">
        <f t="shared" si="4"/>
        <v/>
      </c>
      <c r="J100" s="137" t="str">
        <f t="shared" si="5"/>
        <v/>
      </c>
      <c r="K100" s="138" t="str">
        <f t="shared" si="6"/>
        <v/>
      </c>
      <c r="L100" s="138" t="str">
        <f t="shared" si="7"/>
        <v/>
      </c>
      <c r="M100" s="61"/>
      <c r="N100" s="61"/>
      <c r="O100" s="61"/>
      <c r="P100" s="61"/>
    </row>
    <row r="101" spans="1:16" ht="15" customHeight="1" x14ac:dyDescent="0.25">
      <c r="A101" s="61"/>
      <c r="B101" s="61"/>
      <c r="C101" s="61"/>
      <c r="D101" s="135"/>
      <c r="E101" s="64"/>
      <c r="F101" s="64"/>
      <c r="G101" s="64"/>
      <c r="H101" s="64"/>
      <c r="I101" s="137" t="str">
        <f t="shared" si="4"/>
        <v/>
      </c>
      <c r="J101" s="137" t="str">
        <f t="shared" si="5"/>
        <v/>
      </c>
      <c r="K101" s="138" t="str">
        <f t="shared" si="6"/>
        <v/>
      </c>
      <c r="L101" s="138" t="str">
        <f t="shared" si="7"/>
        <v/>
      </c>
      <c r="M101" s="61"/>
      <c r="N101" s="61"/>
      <c r="O101" s="61"/>
      <c r="P101" s="61"/>
    </row>
    <row r="102" spans="1:16" ht="15" customHeight="1" x14ac:dyDescent="0.25">
      <c r="A102" s="61"/>
      <c r="B102" s="61"/>
      <c r="C102" s="61"/>
      <c r="D102" s="135"/>
      <c r="E102" s="64"/>
      <c r="F102" s="64"/>
      <c r="G102" s="64"/>
      <c r="H102" s="64"/>
      <c r="I102" s="137" t="str">
        <f t="shared" si="4"/>
        <v/>
      </c>
      <c r="J102" s="137" t="str">
        <f t="shared" si="5"/>
        <v/>
      </c>
      <c r="K102" s="138" t="str">
        <f t="shared" si="6"/>
        <v/>
      </c>
      <c r="L102" s="138" t="str">
        <f t="shared" si="7"/>
        <v/>
      </c>
      <c r="M102" s="61"/>
      <c r="N102" s="61"/>
      <c r="O102" s="61"/>
      <c r="P102" s="61"/>
    </row>
    <row r="103" spans="1:16" ht="15" customHeight="1" x14ac:dyDescent="0.25">
      <c r="A103" s="61"/>
      <c r="B103" s="61"/>
      <c r="C103" s="61"/>
      <c r="D103" s="135"/>
      <c r="E103" s="64"/>
      <c r="F103" s="64"/>
      <c r="G103" s="64"/>
      <c r="H103" s="64"/>
      <c r="I103" s="137" t="str">
        <f t="shared" si="4"/>
        <v/>
      </c>
      <c r="J103" s="137" t="str">
        <f t="shared" si="5"/>
        <v/>
      </c>
      <c r="K103" s="138" t="str">
        <f t="shared" si="6"/>
        <v/>
      </c>
      <c r="L103" s="138" t="str">
        <f t="shared" si="7"/>
        <v/>
      </c>
      <c r="M103" s="61"/>
      <c r="N103" s="61"/>
      <c r="O103" s="61"/>
      <c r="P103" s="61"/>
    </row>
    <row r="104" spans="1:16" ht="15" customHeight="1" x14ac:dyDescent="0.25">
      <c r="A104" s="61"/>
      <c r="B104" s="61"/>
      <c r="C104" s="61"/>
      <c r="D104" s="135"/>
      <c r="E104" s="64"/>
      <c r="F104" s="64"/>
      <c r="G104" s="64"/>
      <c r="H104" s="64"/>
      <c r="I104" s="137" t="str">
        <f t="shared" si="4"/>
        <v/>
      </c>
      <c r="J104" s="137" t="str">
        <f t="shared" si="5"/>
        <v/>
      </c>
      <c r="K104" s="138" t="str">
        <f t="shared" si="6"/>
        <v/>
      </c>
      <c r="L104" s="138" t="str">
        <f t="shared" si="7"/>
        <v/>
      </c>
      <c r="M104" s="61"/>
      <c r="N104" s="61"/>
      <c r="O104" s="61"/>
      <c r="P104" s="61"/>
    </row>
    <row r="105" spans="1:16" ht="15" customHeight="1" x14ac:dyDescent="0.25">
      <c r="A105" s="61"/>
      <c r="B105" s="61"/>
      <c r="C105" s="61"/>
      <c r="D105" s="135"/>
      <c r="E105" s="64"/>
      <c r="F105" s="64"/>
      <c r="G105" s="64"/>
      <c r="H105" s="64"/>
      <c r="I105" s="137" t="str">
        <f t="shared" si="4"/>
        <v/>
      </c>
      <c r="J105" s="137" t="str">
        <f t="shared" si="5"/>
        <v/>
      </c>
      <c r="K105" s="138" t="str">
        <f t="shared" si="6"/>
        <v/>
      </c>
      <c r="L105" s="138" t="str">
        <f t="shared" si="7"/>
        <v/>
      </c>
      <c r="M105" s="61"/>
      <c r="N105" s="61"/>
      <c r="O105" s="61"/>
      <c r="P105" s="61"/>
    </row>
    <row r="106" spans="1:16" ht="15" customHeight="1" x14ac:dyDescent="0.25">
      <c r="A106" s="61"/>
      <c r="B106" s="61"/>
      <c r="C106" s="61"/>
      <c r="D106" s="135"/>
      <c r="E106" s="64"/>
      <c r="F106" s="64"/>
      <c r="G106" s="64"/>
      <c r="H106" s="64"/>
      <c r="I106" s="137" t="str">
        <f t="shared" si="4"/>
        <v/>
      </c>
      <c r="J106" s="137" t="str">
        <f t="shared" si="5"/>
        <v/>
      </c>
      <c r="K106" s="138" t="str">
        <f t="shared" si="6"/>
        <v/>
      </c>
      <c r="L106" s="138" t="str">
        <f t="shared" si="7"/>
        <v/>
      </c>
      <c r="M106" s="61"/>
      <c r="N106" s="61"/>
      <c r="O106" s="61"/>
      <c r="P106" s="61"/>
    </row>
    <row r="107" spans="1:16" ht="15" customHeight="1" x14ac:dyDescent="0.25">
      <c r="A107" s="61"/>
      <c r="B107" s="61"/>
      <c r="C107" s="61"/>
      <c r="D107" s="135"/>
      <c r="E107" s="64"/>
      <c r="F107" s="64"/>
      <c r="G107" s="64"/>
      <c r="H107" s="64"/>
      <c r="I107" s="137" t="str">
        <f t="shared" si="4"/>
        <v/>
      </c>
      <c r="J107" s="137" t="str">
        <f t="shared" si="5"/>
        <v/>
      </c>
      <c r="K107" s="138" t="str">
        <f t="shared" si="6"/>
        <v/>
      </c>
      <c r="L107" s="138" t="str">
        <f t="shared" si="7"/>
        <v/>
      </c>
      <c r="M107" s="61"/>
      <c r="N107" s="61"/>
      <c r="O107" s="61"/>
      <c r="P107" s="61"/>
    </row>
    <row r="108" spans="1:16" ht="15" customHeight="1" x14ac:dyDescent="0.25">
      <c r="A108" s="61"/>
      <c r="B108" s="61"/>
      <c r="C108" s="61"/>
      <c r="D108" s="135"/>
      <c r="E108" s="64"/>
      <c r="F108" s="64"/>
      <c r="G108" s="64"/>
      <c r="H108" s="64"/>
      <c r="I108" s="137" t="str">
        <f t="shared" si="4"/>
        <v/>
      </c>
      <c r="J108" s="137" t="str">
        <f t="shared" si="5"/>
        <v/>
      </c>
      <c r="K108" s="138" t="str">
        <f t="shared" si="6"/>
        <v/>
      </c>
      <c r="L108" s="138" t="str">
        <f t="shared" si="7"/>
        <v/>
      </c>
      <c r="M108" s="61"/>
      <c r="N108" s="61"/>
      <c r="O108" s="61"/>
      <c r="P108" s="61"/>
    </row>
    <row r="109" spans="1:16" ht="15" customHeight="1" x14ac:dyDescent="0.25">
      <c r="A109" s="61"/>
      <c r="B109" s="61"/>
      <c r="C109" s="61"/>
      <c r="D109" s="135"/>
      <c r="E109" s="64"/>
      <c r="F109" s="64"/>
      <c r="G109" s="64"/>
      <c r="H109" s="64"/>
      <c r="I109" s="137" t="str">
        <f t="shared" si="4"/>
        <v/>
      </c>
      <c r="J109" s="137" t="str">
        <f t="shared" si="5"/>
        <v/>
      </c>
      <c r="K109" s="138" t="str">
        <f t="shared" si="6"/>
        <v/>
      </c>
      <c r="L109" s="138" t="str">
        <f t="shared" si="7"/>
        <v/>
      </c>
      <c r="M109" s="61"/>
      <c r="N109" s="61"/>
      <c r="O109" s="61"/>
      <c r="P109" s="61"/>
    </row>
    <row r="110" spans="1:16" ht="15" customHeight="1" x14ac:dyDescent="0.25">
      <c r="A110" s="61"/>
      <c r="B110" s="61"/>
      <c r="C110" s="61"/>
      <c r="D110" s="135"/>
      <c r="E110" s="64"/>
      <c r="F110" s="64"/>
      <c r="G110" s="64"/>
      <c r="H110" s="64"/>
      <c r="I110" s="137" t="str">
        <f t="shared" si="4"/>
        <v/>
      </c>
      <c r="J110" s="137" t="str">
        <f t="shared" si="5"/>
        <v/>
      </c>
      <c r="K110" s="138" t="str">
        <f t="shared" si="6"/>
        <v/>
      </c>
      <c r="L110" s="138" t="str">
        <f t="shared" si="7"/>
        <v/>
      </c>
      <c r="M110" s="61"/>
      <c r="N110" s="61"/>
      <c r="O110" s="61"/>
      <c r="P110" s="61"/>
    </row>
    <row r="111" spans="1:16" ht="15" customHeight="1" x14ac:dyDescent="0.25">
      <c r="A111" s="61"/>
      <c r="B111" s="61"/>
      <c r="C111" s="61"/>
      <c r="D111" s="135"/>
      <c r="E111" s="64"/>
      <c r="F111" s="64"/>
      <c r="G111" s="64"/>
      <c r="H111" s="64"/>
      <c r="I111" s="137" t="str">
        <f t="shared" si="4"/>
        <v/>
      </c>
      <c r="J111" s="137" t="str">
        <f t="shared" si="5"/>
        <v/>
      </c>
      <c r="K111" s="138" t="str">
        <f t="shared" si="6"/>
        <v/>
      </c>
      <c r="L111" s="138" t="str">
        <f t="shared" si="7"/>
        <v/>
      </c>
      <c r="M111" s="61"/>
      <c r="N111" s="61"/>
      <c r="O111" s="61"/>
      <c r="P111" s="61"/>
    </row>
    <row r="112" spans="1:16" ht="15" customHeight="1" x14ac:dyDescent="0.25">
      <c r="A112" s="61"/>
      <c r="B112" s="61"/>
      <c r="C112" s="61"/>
      <c r="D112" s="135"/>
      <c r="E112" s="64"/>
      <c r="F112" s="64"/>
      <c r="G112" s="64"/>
      <c r="H112" s="64"/>
      <c r="I112" s="137" t="str">
        <f t="shared" si="4"/>
        <v/>
      </c>
      <c r="J112" s="137" t="str">
        <f t="shared" si="5"/>
        <v/>
      </c>
      <c r="K112" s="138" t="str">
        <f t="shared" si="6"/>
        <v/>
      </c>
      <c r="L112" s="138" t="str">
        <f t="shared" si="7"/>
        <v/>
      </c>
      <c r="M112" s="61"/>
      <c r="N112" s="61"/>
      <c r="O112" s="61"/>
      <c r="P112" s="61"/>
    </row>
    <row r="113" spans="1:16" ht="15" customHeight="1" x14ac:dyDescent="0.25">
      <c r="A113" s="61"/>
      <c r="B113" s="61"/>
      <c r="C113" s="61"/>
      <c r="D113" s="135"/>
      <c r="E113" s="64"/>
      <c r="F113" s="64"/>
      <c r="G113" s="64"/>
      <c r="H113" s="64"/>
      <c r="I113" s="137" t="str">
        <f t="shared" si="4"/>
        <v/>
      </c>
      <c r="J113" s="137" t="str">
        <f t="shared" si="5"/>
        <v/>
      </c>
      <c r="K113" s="138" t="str">
        <f t="shared" si="6"/>
        <v/>
      </c>
      <c r="L113" s="138" t="str">
        <f t="shared" si="7"/>
        <v/>
      </c>
      <c r="M113" s="61"/>
      <c r="N113" s="61"/>
      <c r="O113" s="61"/>
      <c r="P113" s="61"/>
    </row>
    <row r="114" spans="1:16" ht="15" customHeight="1" x14ac:dyDescent="0.25">
      <c r="A114" s="61"/>
      <c r="B114" s="61"/>
      <c r="C114" s="61"/>
      <c r="D114" s="135"/>
      <c r="E114" s="64"/>
      <c r="F114" s="64"/>
      <c r="G114" s="64"/>
      <c r="H114" s="64"/>
      <c r="I114" s="137" t="str">
        <f t="shared" si="4"/>
        <v/>
      </c>
      <c r="J114" s="137" t="str">
        <f t="shared" si="5"/>
        <v/>
      </c>
      <c r="K114" s="138" t="str">
        <f t="shared" si="6"/>
        <v/>
      </c>
      <c r="L114" s="138" t="str">
        <f t="shared" si="7"/>
        <v/>
      </c>
      <c r="M114" s="61"/>
      <c r="N114" s="61"/>
      <c r="O114" s="61"/>
      <c r="P114" s="61"/>
    </row>
    <row r="115" spans="1:16" ht="15" customHeight="1" x14ac:dyDescent="0.25">
      <c r="A115" s="61"/>
      <c r="B115" s="61"/>
      <c r="C115" s="61"/>
      <c r="D115" s="135"/>
      <c r="E115" s="64"/>
      <c r="F115" s="64"/>
      <c r="G115" s="64"/>
      <c r="H115" s="64"/>
      <c r="I115" s="137" t="str">
        <f t="shared" si="4"/>
        <v/>
      </c>
      <c r="J115" s="137" t="str">
        <f t="shared" si="5"/>
        <v/>
      </c>
      <c r="K115" s="138" t="str">
        <f t="shared" si="6"/>
        <v/>
      </c>
      <c r="L115" s="138" t="str">
        <f t="shared" si="7"/>
        <v/>
      </c>
      <c r="M115" s="61"/>
      <c r="N115" s="61"/>
      <c r="O115" s="61"/>
      <c r="P115" s="61"/>
    </row>
    <row r="116" spans="1:16" ht="15" customHeight="1" x14ac:dyDescent="0.25">
      <c r="A116" s="61"/>
      <c r="B116" s="61"/>
      <c r="C116" s="61"/>
      <c r="D116" s="135"/>
      <c r="E116" s="64"/>
      <c r="F116" s="64"/>
      <c r="G116" s="64"/>
      <c r="H116" s="64"/>
      <c r="I116" s="137" t="str">
        <f t="shared" si="4"/>
        <v/>
      </c>
      <c r="J116" s="137" t="str">
        <f t="shared" si="5"/>
        <v/>
      </c>
      <c r="K116" s="138" t="str">
        <f t="shared" si="6"/>
        <v/>
      </c>
      <c r="L116" s="138" t="str">
        <f t="shared" si="7"/>
        <v/>
      </c>
      <c r="M116" s="61"/>
      <c r="N116" s="61"/>
      <c r="O116" s="61"/>
      <c r="P116" s="61"/>
    </row>
    <row r="117" spans="1:16" ht="15" customHeight="1" x14ac:dyDescent="0.25">
      <c r="A117" s="61"/>
      <c r="B117" s="61"/>
      <c r="C117" s="61"/>
      <c r="D117" s="135"/>
      <c r="E117" s="64"/>
      <c r="F117" s="64"/>
      <c r="G117" s="64"/>
      <c r="H117" s="64"/>
      <c r="I117" s="137" t="str">
        <f t="shared" si="4"/>
        <v/>
      </c>
      <c r="J117" s="137" t="str">
        <f t="shared" si="5"/>
        <v/>
      </c>
      <c r="K117" s="138" t="str">
        <f t="shared" si="6"/>
        <v/>
      </c>
      <c r="L117" s="138" t="str">
        <f t="shared" si="7"/>
        <v/>
      </c>
      <c r="M117" s="61"/>
      <c r="N117" s="61"/>
      <c r="O117" s="61"/>
      <c r="P117" s="61"/>
    </row>
    <row r="118" spans="1:16" ht="15" customHeight="1" x14ac:dyDescent="0.25">
      <c r="A118" s="61"/>
      <c r="B118" s="61"/>
      <c r="C118" s="61"/>
      <c r="D118" s="135"/>
      <c r="E118" s="64"/>
      <c r="F118" s="64"/>
      <c r="G118" s="64"/>
      <c r="H118" s="64"/>
      <c r="I118" s="137" t="str">
        <f t="shared" si="4"/>
        <v/>
      </c>
      <c r="J118" s="137" t="str">
        <f t="shared" si="5"/>
        <v/>
      </c>
      <c r="K118" s="138" t="str">
        <f t="shared" si="6"/>
        <v/>
      </c>
      <c r="L118" s="138" t="str">
        <f t="shared" si="7"/>
        <v/>
      </c>
      <c r="M118" s="61"/>
      <c r="N118" s="61"/>
      <c r="O118" s="61"/>
      <c r="P118" s="61"/>
    </row>
    <row r="119" spans="1:16" ht="15" customHeight="1" x14ac:dyDescent="0.25">
      <c r="A119" s="61"/>
      <c r="B119" s="61"/>
      <c r="C119" s="61"/>
      <c r="D119" s="135"/>
      <c r="E119" s="64"/>
      <c r="F119" s="64"/>
      <c r="G119" s="64"/>
      <c r="H119" s="64"/>
      <c r="I119" s="137" t="str">
        <f t="shared" si="4"/>
        <v/>
      </c>
      <c r="J119" s="137" t="str">
        <f t="shared" si="5"/>
        <v/>
      </c>
      <c r="K119" s="138" t="str">
        <f t="shared" si="6"/>
        <v/>
      </c>
      <c r="L119" s="138" t="str">
        <f t="shared" si="7"/>
        <v/>
      </c>
      <c r="M119" s="61"/>
      <c r="N119" s="61"/>
      <c r="O119" s="61"/>
      <c r="P119" s="61"/>
    </row>
    <row r="120" spans="1:16" ht="15" customHeight="1" x14ac:dyDescent="0.25">
      <c r="A120" s="61"/>
      <c r="B120" s="61"/>
      <c r="C120" s="61"/>
      <c r="D120" s="135"/>
      <c r="E120" s="64"/>
      <c r="F120" s="64"/>
      <c r="G120" s="64"/>
      <c r="H120" s="64"/>
      <c r="I120" s="137" t="str">
        <f t="shared" si="4"/>
        <v/>
      </c>
      <c r="J120" s="137" t="str">
        <f t="shared" si="5"/>
        <v/>
      </c>
      <c r="K120" s="138" t="str">
        <f t="shared" si="6"/>
        <v/>
      </c>
      <c r="L120" s="138" t="str">
        <f t="shared" si="7"/>
        <v/>
      </c>
      <c r="M120" s="61"/>
      <c r="N120" s="61"/>
      <c r="O120" s="61"/>
      <c r="P120" s="61"/>
    </row>
    <row r="121" spans="1:16" ht="15" customHeight="1" x14ac:dyDescent="0.25">
      <c r="A121" s="61"/>
      <c r="B121" s="61"/>
      <c r="C121" s="61"/>
      <c r="D121" s="135"/>
      <c r="E121" s="64"/>
      <c r="F121" s="64"/>
      <c r="G121" s="64"/>
      <c r="H121" s="64"/>
      <c r="I121" s="137" t="str">
        <f t="shared" si="4"/>
        <v/>
      </c>
      <c r="J121" s="137" t="str">
        <f t="shared" si="5"/>
        <v/>
      </c>
      <c r="K121" s="138" t="str">
        <f t="shared" si="6"/>
        <v/>
      </c>
      <c r="L121" s="138" t="str">
        <f t="shared" si="7"/>
        <v/>
      </c>
      <c r="M121" s="61"/>
      <c r="N121" s="61"/>
      <c r="O121" s="61"/>
      <c r="P121" s="61"/>
    </row>
    <row r="122" spans="1:16" ht="15" customHeight="1" x14ac:dyDescent="0.25">
      <c r="A122" s="61"/>
      <c r="B122" s="61"/>
      <c r="C122" s="61"/>
      <c r="D122" s="135"/>
      <c r="E122" s="64"/>
      <c r="F122" s="64"/>
      <c r="G122" s="64"/>
      <c r="H122" s="64"/>
      <c r="I122" s="137" t="str">
        <f t="shared" si="4"/>
        <v/>
      </c>
      <c r="J122" s="137" t="str">
        <f t="shared" si="5"/>
        <v/>
      </c>
      <c r="K122" s="138" t="str">
        <f t="shared" si="6"/>
        <v/>
      </c>
      <c r="L122" s="138" t="str">
        <f t="shared" si="7"/>
        <v/>
      </c>
      <c r="M122" s="61"/>
      <c r="N122" s="61"/>
      <c r="O122" s="61"/>
      <c r="P122" s="61"/>
    </row>
    <row r="123" spans="1:16" ht="15" customHeight="1" x14ac:dyDescent="0.25">
      <c r="A123" s="61"/>
      <c r="B123" s="61"/>
      <c r="C123" s="61"/>
      <c r="D123" s="135"/>
      <c r="E123" s="64"/>
      <c r="F123" s="64"/>
      <c r="G123" s="64"/>
      <c r="H123" s="64"/>
      <c r="I123" s="137" t="str">
        <f t="shared" si="4"/>
        <v/>
      </c>
      <c r="J123" s="137" t="str">
        <f t="shared" si="5"/>
        <v/>
      </c>
      <c r="K123" s="138" t="str">
        <f t="shared" si="6"/>
        <v/>
      </c>
      <c r="L123" s="138" t="str">
        <f t="shared" si="7"/>
        <v/>
      </c>
      <c r="M123" s="61"/>
      <c r="N123" s="61"/>
      <c r="O123" s="61"/>
      <c r="P123" s="61"/>
    </row>
    <row r="124" spans="1:16" ht="15" customHeight="1" x14ac:dyDescent="0.25">
      <c r="A124" s="61"/>
      <c r="B124" s="61"/>
      <c r="C124" s="61"/>
      <c r="D124" s="135"/>
      <c r="E124" s="64"/>
      <c r="F124" s="64"/>
      <c r="G124" s="64"/>
      <c r="H124" s="64"/>
      <c r="I124" s="137" t="str">
        <f t="shared" si="4"/>
        <v/>
      </c>
      <c r="J124" s="137" t="str">
        <f t="shared" si="5"/>
        <v/>
      </c>
      <c r="K124" s="138" t="str">
        <f t="shared" si="6"/>
        <v/>
      </c>
      <c r="L124" s="138" t="str">
        <f t="shared" si="7"/>
        <v/>
      </c>
      <c r="M124" s="61"/>
      <c r="N124" s="61"/>
      <c r="O124" s="61"/>
      <c r="P124" s="61"/>
    </row>
    <row r="125" spans="1:16" ht="15" customHeight="1" x14ac:dyDescent="0.25">
      <c r="A125" s="61"/>
      <c r="B125" s="61"/>
      <c r="C125" s="61"/>
      <c r="D125" s="135"/>
      <c r="E125" s="64"/>
      <c r="F125" s="64"/>
      <c r="G125" s="64"/>
      <c r="H125" s="64"/>
      <c r="I125" s="137" t="str">
        <f t="shared" si="4"/>
        <v/>
      </c>
      <c r="J125" s="137" t="str">
        <f t="shared" si="5"/>
        <v/>
      </c>
      <c r="K125" s="138" t="str">
        <f t="shared" si="6"/>
        <v/>
      </c>
      <c r="L125" s="138" t="str">
        <f t="shared" si="7"/>
        <v/>
      </c>
      <c r="M125" s="61"/>
      <c r="N125" s="61"/>
      <c r="O125" s="61"/>
      <c r="P125" s="61"/>
    </row>
    <row r="126" spans="1:16" ht="15" customHeight="1" x14ac:dyDescent="0.25">
      <c r="A126" s="61"/>
      <c r="B126" s="61"/>
      <c r="C126" s="61"/>
      <c r="D126" s="135"/>
      <c r="E126" s="64"/>
      <c r="F126" s="64"/>
      <c r="G126" s="64"/>
      <c r="H126" s="64"/>
      <c r="I126" s="137" t="str">
        <f t="shared" si="4"/>
        <v/>
      </c>
      <c r="J126" s="137" t="str">
        <f t="shared" si="5"/>
        <v/>
      </c>
      <c r="K126" s="138" t="str">
        <f t="shared" si="6"/>
        <v/>
      </c>
      <c r="L126" s="138" t="str">
        <f t="shared" si="7"/>
        <v/>
      </c>
      <c r="M126" s="61"/>
      <c r="N126" s="61"/>
      <c r="O126" s="61"/>
      <c r="P126" s="61"/>
    </row>
    <row r="127" spans="1:16" ht="15" customHeight="1" x14ac:dyDescent="0.25">
      <c r="A127" s="61"/>
      <c r="B127" s="61"/>
      <c r="C127" s="61"/>
      <c r="D127" s="135"/>
      <c r="E127" s="64"/>
      <c r="F127" s="64"/>
      <c r="G127" s="64"/>
      <c r="H127" s="64"/>
      <c r="I127" s="137" t="str">
        <f t="shared" si="4"/>
        <v/>
      </c>
      <c r="J127" s="137" t="str">
        <f t="shared" si="5"/>
        <v/>
      </c>
      <c r="K127" s="138" t="str">
        <f t="shared" si="6"/>
        <v/>
      </c>
      <c r="L127" s="138" t="str">
        <f t="shared" si="7"/>
        <v/>
      </c>
      <c r="M127" s="61"/>
      <c r="N127" s="61"/>
      <c r="O127" s="61"/>
      <c r="P127" s="61"/>
    </row>
    <row r="128" spans="1:16" ht="15" customHeight="1" x14ac:dyDescent="0.25">
      <c r="A128" s="61"/>
      <c r="B128" s="61"/>
      <c r="C128" s="61"/>
      <c r="D128" s="135"/>
      <c r="E128" s="64"/>
      <c r="F128" s="64"/>
      <c r="G128" s="64"/>
      <c r="H128" s="64"/>
      <c r="I128" s="137" t="str">
        <f t="shared" si="4"/>
        <v/>
      </c>
      <c r="J128" s="137" t="str">
        <f t="shared" si="5"/>
        <v/>
      </c>
      <c r="K128" s="138" t="str">
        <f t="shared" si="6"/>
        <v/>
      </c>
      <c r="L128" s="138" t="str">
        <f t="shared" si="7"/>
        <v/>
      </c>
      <c r="M128" s="61"/>
      <c r="N128" s="61"/>
      <c r="O128" s="61"/>
      <c r="P128" s="61"/>
    </row>
    <row r="129" spans="1:16" ht="15" customHeight="1" x14ac:dyDescent="0.25">
      <c r="A129" s="61"/>
      <c r="B129" s="61"/>
      <c r="C129" s="61"/>
      <c r="D129" s="135"/>
      <c r="E129" s="64"/>
      <c r="F129" s="64"/>
      <c r="G129" s="64"/>
      <c r="H129" s="64"/>
      <c r="I129" s="137" t="str">
        <f t="shared" si="4"/>
        <v/>
      </c>
      <c r="J129" s="137" t="str">
        <f t="shared" si="5"/>
        <v/>
      </c>
      <c r="K129" s="138" t="str">
        <f t="shared" si="6"/>
        <v/>
      </c>
      <c r="L129" s="138" t="str">
        <f t="shared" si="7"/>
        <v/>
      </c>
      <c r="M129" s="61"/>
      <c r="N129" s="61"/>
      <c r="O129" s="61"/>
      <c r="P129" s="61"/>
    </row>
    <row r="130" spans="1:16" ht="15" customHeight="1" x14ac:dyDescent="0.25">
      <c r="A130" s="61"/>
      <c r="B130" s="61"/>
      <c r="C130" s="61"/>
      <c r="D130" s="135"/>
      <c r="E130" s="64"/>
      <c r="F130" s="64"/>
      <c r="G130" s="64"/>
      <c r="H130" s="64"/>
      <c r="I130" s="137" t="str">
        <f t="shared" si="4"/>
        <v/>
      </c>
      <c r="J130" s="137" t="str">
        <f t="shared" si="5"/>
        <v/>
      </c>
      <c r="K130" s="138" t="str">
        <f t="shared" si="6"/>
        <v/>
      </c>
      <c r="L130" s="138" t="str">
        <f t="shared" si="7"/>
        <v/>
      </c>
      <c r="M130" s="61"/>
      <c r="N130" s="61"/>
      <c r="O130" s="61"/>
      <c r="P130" s="61"/>
    </row>
    <row r="131" spans="1:16" ht="15" customHeight="1" x14ac:dyDescent="0.25">
      <c r="A131" s="61"/>
      <c r="B131" s="61"/>
      <c r="C131" s="61"/>
      <c r="D131" s="135"/>
      <c r="E131" s="64"/>
      <c r="F131" s="64"/>
      <c r="G131" s="64"/>
      <c r="H131" s="64"/>
      <c r="I131" s="137" t="str">
        <f t="shared" ref="I131:I194" si="8">IFERROR(IF(E131="","",E131*F131*H131/1000000),"")</f>
        <v/>
      </c>
      <c r="J131" s="137" t="str">
        <f t="shared" ref="J131:J194" si="9">IFERROR(IF(E131="","",(E131+F131)*H131/1000),"")</f>
        <v/>
      </c>
      <c r="K131" s="138" t="str">
        <f t="shared" ref="K131:K194" si="10">IFERROR(IF(D131="","",VLOOKUP(D131,Materials_Table,6,FALSE())),"")</f>
        <v/>
      </c>
      <c r="L131" s="138" t="str">
        <f t="shared" ref="L131:L194" si="11">IFERROR(IF(OR(I131="",K131=""),"",I131*K131),"")</f>
        <v/>
      </c>
      <c r="M131" s="61"/>
      <c r="N131" s="61"/>
      <c r="O131" s="61"/>
      <c r="P131" s="61"/>
    </row>
    <row r="132" spans="1:16" ht="15" customHeight="1" x14ac:dyDescent="0.25">
      <c r="A132" s="61"/>
      <c r="B132" s="61"/>
      <c r="C132" s="61"/>
      <c r="D132" s="135"/>
      <c r="E132" s="64"/>
      <c r="F132" s="64"/>
      <c r="G132" s="64"/>
      <c r="H132" s="64"/>
      <c r="I132" s="137" t="str">
        <f t="shared" si="8"/>
        <v/>
      </c>
      <c r="J132" s="137" t="str">
        <f t="shared" si="9"/>
        <v/>
      </c>
      <c r="K132" s="138" t="str">
        <f t="shared" si="10"/>
        <v/>
      </c>
      <c r="L132" s="138" t="str">
        <f t="shared" si="11"/>
        <v/>
      </c>
      <c r="M132" s="61"/>
      <c r="N132" s="61"/>
      <c r="O132" s="61"/>
      <c r="P132" s="61"/>
    </row>
    <row r="133" spans="1:16" ht="15" customHeight="1" x14ac:dyDescent="0.25">
      <c r="A133" s="61"/>
      <c r="B133" s="61"/>
      <c r="C133" s="61"/>
      <c r="D133" s="135"/>
      <c r="E133" s="64"/>
      <c r="F133" s="64"/>
      <c r="G133" s="64"/>
      <c r="H133" s="64"/>
      <c r="I133" s="137" t="str">
        <f t="shared" si="8"/>
        <v/>
      </c>
      <c r="J133" s="137" t="str">
        <f t="shared" si="9"/>
        <v/>
      </c>
      <c r="K133" s="138" t="str">
        <f t="shared" si="10"/>
        <v/>
      </c>
      <c r="L133" s="138" t="str">
        <f t="shared" si="11"/>
        <v/>
      </c>
      <c r="M133" s="61"/>
      <c r="N133" s="61"/>
      <c r="O133" s="61"/>
      <c r="P133" s="61"/>
    </row>
    <row r="134" spans="1:16" ht="15" customHeight="1" x14ac:dyDescent="0.25">
      <c r="A134" s="61"/>
      <c r="B134" s="61"/>
      <c r="C134" s="61"/>
      <c r="D134" s="135"/>
      <c r="E134" s="64"/>
      <c r="F134" s="64"/>
      <c r="G134" s="64"/>
      <c r="H134" s="64"/>
      <c r="I134" s="137" t="str">
        <f t="shared" si="8"/>
        <v/>
      </c>
      <c r="J134" s="137" t="str">
        <f t="shared" si="9"/>
        <v/>
      </c>
      <c r="K134" s="138" t="str">
        <f t="shared" si="10"/>
        <v/>
      </c>
      <c r="L134" s="138" t="str">
        <f t="shared" si="11"/>
        <v/>
      </c>
      <c r="M134" s="61"/>
      <c r="N134" s="61"/>
      <c r="O134" s="61"/>
      <c r="P134" s="61"/>
    </row>
    <row r="135" spans="1:16" ht="15" customHeight="1" x14ac:dyDescent="0.25">
      <c r="A135" s="61"/>
      <c r="B135" s="61"/>
      <c r="C135" s="61"/>
      <c r="D135" s="135"/>
      <c r="E135" s="64"/>
      <c r="F135" s="64"/>
      <c r="G135" s="64"/>
      <c r="H135" s="64"/>
      <c r="I135" s="137" t="str">
        <f t="shared" si="8"/>
        <v/>
      </c>
      <c r="J135" s="137" t="str">
        <f t="shared" si="9"/>
        <v/>
      </c>
      <c r="K135" s="138" t="str">
        <f t="shared" si="10"/>
        <v/>
      </c>
      <c r="L135" s="138" t="str">
        <f t="shared" si="11"/>
        <v/>
      </c>
      <c r="M135" s="61"/>
      <c r="N135" s="61"/>
      <c r="O135" s="61"/>
      <c r="P135" s="61"/>
    </row>
    <row r="136" spans="1:16" ht="15" customHeight="1" x14ac:dyDescent="0.25">
      <c r="A136" s="61"/>
      <c r="B136" s="61"/>
      <c r="C136" s="61"/>
      <c r="D136" s="135"/>
      <c r="E136" s="64"/>
      <c r="F136" s="64"/>
      <c r="G136" s="64"/>
      <c r="H136" s="64"/>
      <c r="I136" s="137" t="str">
        <f t="shared" si="8"/>
        <v/>
      </c>
      <c r="J136" s="137" t="str">
        <f t="shared" si="9"/>
        <v/>
      </c>
      <c r="K136" s="138" t="str">
        <f t="shared" si="10"/>
        <v/>
      </c>
      <c r="L136" s="138" t="str">
        <f t="shared" si="11"/>
        <v/>
      </c>
      <c r="M136" s="61"/>
      <c r="N136" s="61"/>
      <c r="O136" s="61"/>
      <c r="P136" s="61"/>
    </row>
    <row r="137" spans="1:16" ht="15" customHeight="1" x14ac:dyDescent="0.25">
      <c r="A137" s="61"/>
      <c r="B137" s="61"/>
      <c r="C137" s="61"/>
      <c r="D137" s="135"/>
      <c r="E137" s="64"/>
      <c r="F137" s="64"/>
      <c r="G137" s="64"/>
      <c r="H137" s="64"/>
      <c r="I137" s="137" t="str">
        <f t="shared" si="8"/>
        <v/>
      </c>
      <c r="J137" s="137" t="str">
        <f t="shared" si="9"/>
        <v/>
      </c>
      <c r="K137" s="138" t="str">
        <f t="shared" si="10"/>
        <v/>
      </c>
      <c r="L137" s="138" t="str">
        <f t="shared" si="11"/>
        <v/>
      </c>
      <c r="M137" s="61"/>
      <c r="N137" s="61"/>
      <c r="O137" s="61"/>
      <c r="P137" s="61"/>
    </row>
    <row r="138" spans="1:16" ht="15" customHeight="1" x14ac:dyDescent="0.25">
      <c r="A138" s="61"/>
      <c r="B138" s="61"/>
      <c r="C138" s="61"/>
      <c r="D138" s="135"/>
      <c r="E138" s="64"/>
      <c r="F138" s="64"/>
      <c r="G138" s="64"/>
      <c r="H138" s="64"/>
      <c r="I138" s="137" t="str">
        <f t="shared" si="8"/>
        <v/>
      </c>
      <c r="J138" s="137" t="str">
        <f t="shared" si="9"/>
        <v/>
      </c>
      <c r="K138" s="138" t="str">
        <f t="shared" si="10"/>
        <v/>
      </c>
      <c r="L138" s="138" t="str">
        <f t="shared" si="11"/>
        <v/>
      </c>
      <c r="M138" s="61"/>
      <c r="N138" s="61"/>
      <c r="O138" s="61"/>
      <c r="P138" s="61"/>
    </row>
    <row r="139" spans="1:16" ht="15" customHeight="1" x14ac:dyDescent="0.25">
      <c r="A139" s="61"/>
      <c r="B139" s="61"/>
      <c r="C139" s="61"/>
      <c r="D139" s="135"/>
      <c r="E139" s="64"/>
      <c r="F139" s="64"/>
      <c r="G139" s="64"/>
      <c r="H139" s="64"/>
      <c r="I139" s="137" t="str">
        <f t="shared" si="8"/>
        <v/>
      </c>
      <c r="J139" s="137" t="str">
        <f t="shared" si="9"/>
        <v/>
      </c>
      <c r="K139" s="138" t="str">
        <f t="shared" si="10"/>
        <v/>
      </c>
      <c r="L139" s="138" t="str">
        <f t="shared" si="11"/>
        <v/>
      </c>
      <c r="M139" s="61"/>
      <c r="N139" s="61"/>
      <c r="O139" s="61"/>
      <c r="P139" s="61"/>
    </row>
    <row r="140" spans="1:16" ht="15" customHeight="1" x14ac:dyDescent="0.25">
      <c r="A140" s="61"/>
      <c r="B140" s="61"/>
      <c r="C140" s="61"/>
      <c r="D140" s="135"/>
      <c r="E140" s="64"/>
      <c r="F140" s="64"/>
      <c r="G140" s="64"/>
      <c r="H140" s="64"/>
      <c r="I140" s="137" t="str">
        <f t="shared" si="8"/>
        <v/>
      </c>
      <c r="J140" s="137" t="str">
        <f t="shared" si="9"/>
        <v/>
      </c>
      <c r="K140" s="138" t="str">
        <f t="shared" si="10"/>
        <v/>
      </c>
      <c r="L140" s="138" t="str">
        <f t="shared" si="11"/>
        <v/>
      </c>
      <c r="M140" s="61"/>
      <c r="N140" s="61"/>
      <c r="O140" s="61"/>
      <c r="P140" s="61"/>
    </row>
    <row r="141" spans="1:16" ht="15" customHeight="1" x14ac:dyDescent="0.25">
      <c r="A141" s="61"/>
      <c r="B141" s="61"/>
      <c r="C141" s="61"/>
      <c r="D141" s="135"/>
      <c r="E141" s="64"/>
      <c r="F141" s="64"/>
      <c r="G141" s="64"/>
      <c r="H141" s="64"/>
      <c r="I141" s="137" t="str">
        <f t="shared" si="8"/>
        <v/>
      </c>
      <c r="J141" s="137" t="str">
        <f t="shared" si="9"/>
        <v/>
      </c>
      <c r="K141" s="138" t="str">
        <f t="shared" si="10"/>
        <v/>
      </c>
      <c r="L141" s="138" t="str">
        <f t="shared" si="11"/>
        <v/>
      </c>
      <c r="M141" s="61"/>
      <c r="N141" s="61"/>
      <c r="O141" s="61"/>
      <c r="P141" s="61"/>
    </row>
    <row r="142" spans="1:16" ht="15" customHeight="1" x14ac:dyDescent="0.25">
      <c r="A142" s="61"/>
      <c r="B142" s="61"/>
      <c r="C142" s="61"/>
      <c r="D142" s="135"/>
      <c r="E142" s="64"/>
      <c r="F142" s="64"/>
      <c r="G142" s="64"/>
      <c r="H142" s="64"/>
      <c r="I142" s="137" t="str">
        <f t="shared" si="8"/>
        <v/>
      </c>
      <c r="J142" s="137" t="str">
        <f t="shared" si="9"/>
        <v/>
      </c>
      <c r="K142" s="138" t="str">
        <f t="shared" si="10"/>
        <v/>
      </c>
      <c r="L142" s="138" t="str">
        <f t="shared" si="11"/>
        <v/>
      </c>
      <c r="M142" s="61"/>
      <c r="N142" s="61"/>
      <c r="O142" s="61"/>
      <c r="P142" s="61"/>
    </row>
    <row r="143" spans="1:16" ht="15" customHeight="1" x14ac:dyDescent="0.25">
      <c r="A143" s="61"/>
      <c r="B143" s="61"/>
      <c r="C143" s="61"/>
      <c r="D143" s="135"/>
      <c r="E143" s="64"/>
      <c r="F143" s="64"/>
      <c r="G143" s="64"/>
      <c r="H143" s="64"/>
      <c r="I143" s="137" t="str">
        <f t="shared" si="8"/>
        <v/>
      </c>
      <c r="J143" s="137" t="str">
        <f t="shared" si="9"/>
        <v/>
      </c>
      <c r="K143" s="138" t="str">
        <f t="shared" si="10"/>
        <v/>
      </c>
      <c r="L143" s="138" t="str">
        <f t="shared" si="11"/>
        <v/>
      </c>
      <c r="M143" s="61"/>
      <c r="N143" s="61"/>
      <c r="O143" s="61"/>
      <c r="P143" s="61"/>
    </row>
    <row r="144" spans="1:16" ht="15" customHeight="1" x14ac:dyDescent="0.25">
      <c r="A144" s="61"/>
      <c r="B144" s="61"/>
      <c r="C144" s="61"/>
      <c r="D144" s="135"/>
      <c r="E144" s="64"/>
      <c r="F144" s="64"/>
      <c r="G144" s="64"/>
      <c r="H144" s="64"/>
      <c r="I144" s="137" t="str">
        <f t="shared" si="8"/>
        <v/>
      </c>
      <c r="J144" s="137" t="str">
        <f t="shared" si="9"/>
        <v/>
      </c>
      <c r="K144" s="138" t="str">
        <f t="shared" si="10"/>
        <v/>
      </c>
      <c r="L144" s="138" t="str">
        <f t="shared" si="11"/>
        <v/>
      </c>
      <c r="M144" s="61"/>
      <c r="N144" s="61"/>
      <c r="O144" s="61"/>
      <c r="P144" s="61"/>
    </row>
    <row r="145" spans="1:16" ht="15" customHeight="1" x14ac:dyDescent="0.25">
      <c r="A145" s="61"/>
      <c r="B145" s="61"/>
      <c r="C145" s="61"/>
      <c r="D145" s="135"/>
      <c r="E145" s="64"/>
      <c r="F145" s="64"/>
      <c r="G145" s="64"/>
      <c r="H145" s="64"/>
      <c r="I145" s="137" t="str">
        <f t="shared" si="8"/>
        <v/>
      </c>
      <c r="J145" s="137" t="str">
        <f t="shared" si="9"/>
        <v/>
      </c>
      <c r="K145" s="138" t="str">
        <f t="shared" si="10"/>
        <v/>
      </c>
      <c r="L145" s="138" t="str">
        <f t="shared" si="11"/>
        <v/>
      </c>
      <c r="M145" s="61"/>
      <c r="N145" s="61"/>
      <c r="O145" s="61"/>
      <c r="P145" s="61"/>
    </row>
    <row r="146" spans="1:16" ht="15" customHeight="1" x14ac:dyDescent="0.25">
      <c r="A146" s="61"/>
      <c r="B146" s="61"/>
      <c r="C146" s="61"/>
      <c r="D146" s="135"/>
      <c r="E146" s="64"/>
      <c r="F146" s="64"/>
      <c r="G146" s="64"/>
      <c r="H146" s="64"/>
      <c r="I146" s="137" t="str">
        <f t="shared" si="8"/>
        <v/>
      </c>
      <c r="J146" s="137" t="str">
        <f t="shared" si="9"/>
        <v/>
      </c>
      <c r="K146" s="138" t="str">
        <f t="shared" si="10"/>
        <v/>
      </c>
      <c r="L146" s="138" t="str">
        <f t="shared" si="11"/>
        <v/>
      </c>
      <c r="M146" s="61"/>
      <c r="N146" s="61"/>
      <c r="O146" s="61"/>
      <c r="P146" s="61"/>
    </row>
    <row r="147" spans="1:16" ht="15" customHeight="1" x14ac:dyDescent="0.25">
      <c r="A147" s="61"/>
      <c r="B147" s="61"/>
      <c r="C147" s="61"/>
      <c r="D147" s="135"/>
      <c r="E147" s="64"/>
      <c r="F147" s="64"/>
      <c r="G147" s="64"/>
      <c r="H147" s="64"/>
      <c r="I147" s="137" t="str">
        <f t="shared" si="8"/>
        <v/>
      </c>
      <c r="J147" s="137" t="str">
        <f t="shared" si="9"/>
        <v/>
      </c>
      <c r="K147" s="138" t="str">
        <f t="shared" si="10"/>
        <v/>
      </c>
      <c r="L147" s="138" t="str">
        <f t="shared" si="11"/>
        <v/>
      </c>
      <c r="M147" s="61"/>
      <c r="N147" s="61"/>
      <c r="O147" s="61"/>
      <c r="P147" s="61"/>
    </row>
    <row r="148" spans="1:16" ht="15" customHeight="1" x14ac:dyDescent="0.25">
      <c r="A148" s="61"/>
      <c r="B148" s="61"/>
      <c r="C148" s="61"/>
      <c r="D148" s="135"/>
      <c r="E148" s="64"/>
      <c r="F148" s="64"/>
      <c r="G148" s="64"/>
      <c r="H148" s="64"/>
      <c r="I148" s="137" t="str">
        <f t="shared" si="8"/>
        <v/>
      </c>
      <c r="J148" s="137" t="str">
        <f t="shared" si="9"/>
        <v/>
      </c>
      <c r="K148" s="138" t="str">
        <f t="shared" si="10"/>
        <v/>
      </c>
      <c r="L148" s="138" t="str">
        <f t="shared" si="11"/>
        <v/>
      </c>
      <c r="M148" s="61"/>
      <c r="N148" s="61"/>
      <c r="O148" s="61"/>
      <c r="P148" s="61"/>
    </row>
    <row r="149" spans="1:16" ht="15" customHeight="1" x14ac:dyDescent="0.25">
      <c r="A149" s="61"/>
      <c r="B149" s="61"/>
      <c r="C149" s="61"/>
      <c r="D149" s="135"/>
      <c r="E149" s="64"/>
      <c r="F149" s="64"/>
      <c r="G149" s="64"/>
      <c r="H149" s="64"/>
      <c r="I149" s="137" t="str">
        <f t="shared" si="8"/>
        <v/>
      </c>
      <c r="J149" s="137" t="str">
        <f t="shared" si="9"/>
        <v/>
      </c>
      <c r="K149" s="138" t="str">
        <f t="shared" si="10"/>
        <v/>
      </c>
      <c r="L149" s="138" t="str">
        <f t="shared" si="11"/>
        <v/>
      </c>
      <c r="M149" s="61"/>
      <c r="N149" s="61"/>
      <c r="O149" s="61"/>
      <c r="P149" s="61"/>
    </row>
    <row r="150" spans="1:16" ht="15" customHeight="1" x14ac:dyDescent="0.25">
      <c r="A150" s="61"/>
      <c r="B150" s="61"/>
      <c r="C150" s="61"/>
      <c r="D150" s="135"/>
      <c r="E150" s="64"/>
      <c r="F150" s="64"/>
      <c r="G150" s="64"/>
      <c r="H150" s="64"/>
      <c r="I150" s="137" t="str">
        <f t="shared" si="8"/>
        <v/>
      </c>
      <c r="J150" s="137" t="str">
        <f t="shared" si="9"/>
        <v/>
      </c>
      <c r="K150" s="138" t="str">
        <f t="shared" si="10"/>
        <v/>
      </c>
      <c r="L150" s="138" t="str">
        <f t="shared" si="11"/>
        <v/>
      </c>
      <c r="M150" s="61"/>
      <c r="N150" s="61"/>
      <c r="O150" s="61"/>
      <c r="P150" s="61"/>
    </row>
    <row r="151" spans="1:16" ht="15" customHeight="1" x14ac:dyDescent="0.25">
      <c r="A151" s="61"/>
      <c r="B151" s="61"/>
      <c r="C151" s="61"/>
      <c r="D151" s="135"/>
      <c r="E151" s="64"/>
      <c r="F151" s="64"/>
      <c r="G151" s="64"/>
      <c r="H151" s="64"/>
      <c r="I151" s="137" t="str">
        <f t="shared" si="8"/>
        <v/>
      </c>
      <c r="J151" s="137" t="str">
        <f t="shared" si="9"/>
        <v/>
      </c>
      <c r="K151" s="138" t="str">
        <f t="shared" si="10"/>
        <v/>
      </c>
      <c r="L151" s="138" t="str">
        <f t="shared" si="11"/>
        <v/>
      </c>
      <c r="M151" s="61"/>
      <c r="N151" s="61"/>
      <c r="O151" s="61"/>
      <c r="P151" s="61"/>
    </row>
    <row r="152" spans="1:16" ht="15" customHeight="1" x14ac:dyDescent="0.25">
      <c r="A152" s="61"/>
      <c r="B152" s="61"/>
      <c r="C152" s="61"/>
      <c r="D152" s="135"/>
      <c r="E152" s="64"/>
      <c r="F152" s="64"/>
      <c r="G152" s="64"/>
      <c r="H152" s="64"/>
      <c r="I152" s="137" t="str">
        <f t="shared" si="8"/>
        <v/>
      </c>
      <c r="J152" s="137" t="str">
        <f t="shared" si="9"/>
        <v/>
      </c>
      <c r="K152" s="138" t="str">
        <f t="shared" si="10"/>
        <v/>
      </c>
      <c r="L152" s="138" t="str">
        <f t="shared" si="11"/>
        <v/>
      </c>
      <c r="M152" s="61"/>
      <c r="N152" s="61"/>
      <c r="O152" s="61"/>
      <c r="P152" s="61"/>
    </row>
    <row r="153" spans="1:16" ht="15" customHeight="1" x14ac:dyDescent="0.25">
      <c r="A153" s="61"/>
      <c r="B153" s="61"/>
      <c r="C153" s="61"/>
      <c r="D153" s="135"/>
      <c r="E153" s="64"/>
      <c r="F153" s="64"/>
      <c r="G153" s="64"/>
      <c r="H153" s="64"/>
      <c r="I153" s="137" t="str">
        <f t="shared" si="8"/>
        <v/>
      </c>
      <c r="J153" s="137" t="str">
        <f t="shared" si="9"/>
        <v/>
      </c>
      <c r="K153" s="138" t="str">
        <f t="shared" si="10"/>
        <v/>
      </c>
      <c r="L153" s="138" t="str">
        <f t="shared" si="11"/>
        <v/>
      </c>
      <c r="M153" s="61"/>
      <c r="N153" s="61"/>
      <c r="O153" s="61"/>
      <c r="P153" s="61"/>
    </row>
    <row r="154" spans="1:16" ht="15" customHeight="1" x14ac:dyDescent="0.25">
      <c r="A154" s="61"/>
      <c r="B154" s="61"/>
      <c r="C154" s="61"/>
      <c r="D154" s="135"/>
      <c r="E154" s="64"/>
      <c r="F154" s="64"/>
      <c r="G154" s="64"/>
      <c r="H154" s="64"/>
      <c r="I154" s="137" t="str">
        <f t="shared" si="8"/>
        <v/>
      </c>
      <c r="J154" s="137" t="str">
        <f t="shared" si="9"/>
        <v/>
      </c>
      <c r="K154" s="138" t="str">
        <f t="shared" si="10"/>
        <v/>
      </c>
      <c r="L154" s="138" t="str">
        <f t="shared" si="11"/>
        <v/>
      </c>
      <c r="M154" s="61"/>
      <c r="N154" s="61"/>
      <c r="O154" s="61"/>
      <c r="P154" s="61"/>
    </row>
    <row r="155" spans="1:16" ht="15" customHeight="1" x14ac:dyDescent="0.25">
      <c r="A155" s="61"/>
      <c r="B155" s="61"/>
      <c r="C155" s="61"/>
      <c r="D155" s="135"/>
      <c r="E155" s="64"/>
      <c r="F155" s="64"/>
      <c r="G155" s="64"/>
      <c r="H155" s="64"/>
      <c r="I155" s="137" t="str">
        <f t="shared" si="8"/>
        <v/>
      </c>
      <c r="J155" s="137" t="str">
        <f t="shared" si="9"/>
        <v/>
      </c>
      <c r="K155" s="138" t="str">
        <f t="shared" si="10"/>
        <v/>
      </c>
      <c r="L155" s="138" t="str">
        <f t="shared" si="11"/>
        <v/>
      </c>
      <c r="M155" s="61"/>
      <c r="N155" s="61"/>
      <c r="O155" s="61"/>
      <c r="P155" s="61"/>
    </row>
    <row r="156" spans="1:16" ht="15" customHeight="1" x14ac:dyDescent="0.25">
      <c r="A156" s="61"/>
      <c r="B156" s="61"/>
      <c r="C156" s="61"/>
      <c r="D156" s="135"/>
      <c r="E156" s="64"/>
      <c r="F156" s="64"/>
      <c r="G156" s="64"/>
      <c r="H156" s="64"/>
      <c r="I156" s="137" t="str">
        <f t="shared" si="8"/>
        <v/>
      </c>
      <c r="J156" s="137" t="str">
        <f t="shared" si="9"/>
        <v/>
      </c>
      <c r="K156" s="138" t="str">
        <f t="shared" si="10"/>
        <v/>
      </c>
      <c r="L156" s="138" t="str">
        <f t="shared" si="11"/>
        <v/>
      </c>
      <c r="M156" s="61"/>
      <c r="N156" s="61"/>
      <c r="O156" s="61"/>
      <c r="P156" s="61"/>
    </row>
    <row r="157" spans="1:16" ht="15" customHeight="1" x14ac:dyDescent="0.25">
      <c r="A157" s="61"/>
      <c r="B157" s="61"/>
      <c r="C157" s="61"/>
      <c r="D157" s="135"/>
      <c r="E157" s="64"/>
      <c r="F157" s="64"/>
      <c r="G157" s="64"/>
      <c r="H157" s="64"/>
      <c r="I157" s="137" t="str">
        <f t="shared" si="8"/>
        <v/>
      </c>
      <c r="J157" s="137" t="str">
        <f t="shared" si="9"/>
        <v/>
      </c>
      <c r="K157" s="138" t="str">
        <f t="shared" si="10"/>
        <v/>
      </c>
      <c r="L157" s="138" t="str">
        <f t="shared" si="11"/>
        <v/>
      </c>
      <c r="M157" s="61"/>
      <c r="N157" s="61"/>
      <c r="O157" s="61"/>
      <c r="P157" s="61"/>
    </row>
    <row r="158" spans="1:16" ht="15" customHeight="1" x14ac:dyDescent="0.25">
      <c r="A158" s="61"/>
      <c r="B158" s="61"/>
      <c r="C158" s="61"/>
      <c r="D158" s="135"/>
      <c r="E158" s="64"/>
      <c r="F158" s="64"/>
      <c r="G158" s="64"/>
      <c r="H158" s="64"/>
      <c r="I158" s="137" t="str">
        <f t="shared" si="8"/>
        <v/>
      </c>
      <c r="J158" s="137" t="str">
        <f t="shared" si="9"/>
        <v/>
      </c>
      <c r="K158" s="138" t="str">
        <f t="shared" si="10"/>
        <v/>
      </c>
      <c r="L158" s="138" t="str">
        <f t="shared" si="11"/>
        <v/>
      </c>
      <c r="M158" s="61"/>
      <c r="N158" s="61"/>
      <c r="O158" s="61"/>
      <c r="P158" s="61"/>
    </row>
    <row r="159" spans="1:16" ht="15" customHeight="1" x14ac:dyDescent="0.25">
      <c r="A159" s="61"/>
      <c r="B159" s="61"/>
      <c r="C159" s="61"/>
      <c r="D159" s="135"/>
      <c r="E159" s="64"/>
      <c r="F159" s="64"/>
      <c r="G159" s="64"/>
      <c r="H159" s="64"/>
      <c r="I159" s="137" t="str">
        <f t="shared" si="8"/>
        <v/>
      </c>
      <c r="J159" s="137" t="str">
        <f t="shared" si="9"/>
        <v/>
      </c>
      <c r="K159" s="138" t="str">
        <f t="shared" si="10"/>
        <v/>
      </c>
      <c r="L159" s="138" t="str">
        <f t="shared" si="11"/>
        <v/>
      </c>
      <c r="M159" s="61"/>
      <c r="N159" s="61"/>
      <c r="O159" s="61"/>
      <c r="P159" s="61"/>
    </row>
    <row r="160" spans="1:16" ht="15" customHeight="1" x14ac:dyDescent="0.25">
      <c r="A160" s="61"/>
      <c r="B160" s="61"/>
      <c r="C160" s="61"/>
      <c r="D160" s="135"/>
      <c r="E160" s="64"/>
      <c r="F160" s="64"/>
      <c r="G160" s="64"/>
      <c r="H160" s="64"/>
      <c r="I160" s="137" t="str">
        <f t="shared" si="8"/>
        <v/>
      </c>
      <c r="J160" s="137" t="str">
        <f t="shared" si="9"/>
        <v/>
      </c>
      <c r="K160" s="138" t="str">
        <f t="shared" si="10"/>
        <v/>
      </c>
      <c r="L160" s="138" t="str">
        <f t="shared" si="11"/>
        <v/>
      </c>
      <c r="M160" s="61"/>
      <c r="N160" s="61"/>
      <c r="O160" s="61"/>
      <c r="P160" s="61"/>
    </row>
    <row r="161" spans="1:16" ht="15" customHeight="1" x14ac:dyDescent="0.25">
      <c r="A161" s="61"/>
      <c r="B161" s="61"/>
      <c r="C161" s="61"/>
      <c r="D161" s="135"/>
      <c r="E161" s="64"/>
      <c r="F161" s="64"/>
      <c r="G161" s="64"/>
      <c r="H161" s="64"/>
      <c r="I161" s="137" t="str">
        <f t="shared" si="8"/>
        <v/>
      </c>
      <c r="J161" s="137" t="str">
        <f t="shared" si="9"/>
        <v/>
      </c>
      <c r="K161" s="138" t="str">
        <f t="shared" si="10"/>
        <v/>
      </c>
      <c r="L161" s="138" t="str">
        <f t="shared" si="11"/>
        <v/>
      </c>
      <c r="M161" s="61"/>
      <c r="N161" s="61"/>
      <c r="O161" s="61"/>
      <c r="P161" s="61"/>
    </row>
    <row r="162" spans="1:16" ht="15" customHeight="1" x14ac:dyDescent="0.25">
      <c r="A162" s="61"/>
      <c r="B162" s="61"/>
      <c r="C162" s="61"/>
      <c r="D162" s="135"/>
      <c r="E162" s="64"/>
      <c r="F162" s="64"/>
      <c r="G162" s="64"/>
      <c r="H162" s="64"/>
      <c r="I162" s="137" t="str">
        <f t="shared" si="8"/>
        <v/>
      </c>
      <c r="J162" s="137" t="str">
        <f t="shared" si="9"/>
        <v/>
      </c>
      <c r="K162" s="138" t="str">
        <f t="shared" si="10"/>
        <v/>
      </c>
      <c r="L162" s="138" t="str">
        <f t="shared" si="11"/>
        <v/>
      </c>
      <c r="M162" s="61"/>
      <c r="N162" s="61"/>
      <c r="O162" s="61"/>
      <c r="P162" s="61"/>
    </row>
    <row r="163" spans="1:16" ht="15" customHeight="1" x14ac:dyDescent="0.25">
      <c r="A163" s="61"/>
      <c r="B163" s="61"/>
      <c r="C163" s="61"/>
      <c r="D163" s="135"/>
      <c r="E163" s="64"/>
      <c r="F163" s="64"/>
      <c r="G163" s="64"/>
      <c r="H163" s="64"/>
      <c r="I163" s="137" t="str">
        <f t="shared" si="8"/>
        <v/>
      </c>
      <c r="J163" s="137" t="str">
        <f t="shared" si="9"/>
        <v/>
      </c>
      <c r="K163" s="138" t="str">
        <f t="shared" si="10"/>
        <v/>
      </c>
      <c r="L163" s="138" t="str">
        <f t="shared" si="11"/>
        <v/>
      </c>
      <c r="M163" s="61"/>
      <c r="N163" s="61"/>
      <c r="O163" s="61"/>
      <c r="P163" s="61"/>
    </row>
    <row r="164" spans="1:16" ht="15" customHeight="1" x14ac:dyDescent="0.25">
      <c r="A164" s="61"/>
      <c r="B164" s="61"/>
      <c r="C164" s="61"/>
      <c r="D164" s="135"/>
      <c r="E164" s="64"/>
      <c r="F164" s="64"/>
      <c r="G164" s="64"/>
      <c r="H164" s="64"/>
      <c r="I164" s="137" t="str">
        <f t="shared" si="8"/>
        <v/>
      </c>
      <c r="J164" s="137" t="str">
        <f t="shared" si="9"/>
        <v/>
      </c>
      <c r="K164" s="138" t="str">
        <f t="shared" si="10"/>
        <v/>
      </c>
      <c r="L164" s="138" t="str">
        <f t="shared" si="11"/>
        <v/>
      </c>
      <c r="M164" s="61"/>
      <c r="N164" s="61"/>
      <c r="O164" s="61"/>
      <c r="P164" s="61"/>
    </row>
    <row r="165" spans="1:16" ht="15" customHeight="1" x14ac:dyDescent="0.25">
      <c r="A165" s="61"/>
      <c r="B165" s="61"/>
      <c r="C165" s="61"/>
      <c r="D165" s="135"/>
      <c r="E165" s="64"/>
      <c r="F165" s="64"/>
      <c r="G165" s="64"/>
      <c r="H165" s="64"/>
      <c r="I165" s="137" t="str">
        <f t="shared" si="8"/>
        <v/>
      </c>
      <c r="J165" s="137" t="str">
        <f t="shared" si="9"/>
        <v/>
      </c>
      <c r="K165" s="138" t="str">
        <f t="shared" si="10"/>
        <v/>
      </c>
      <c r="L165" s="138" t="str">
        <f t="shared" si="11"/>
        <v/>
      </c>
      <c r="M165" s="61"/>
      <c r="N165" s="61"/>
      <c r="O165" s="61"/>
      <c r="P165" s="61"/>
    </row>
    <row r="166" spans="1:16" ht="15" customHeight="1" x14ac:dyDescent="0.25">
      <c r="A166" s="61"/>
      <c r="B166" s="61"/>
      <c r="C166" s="61"/>
      <c r="D166" s="135"/>
      <c r="E166" s="64"/>
      <c r="F166" s="64"/>
      <c r="G166" s="64"/>
      <c r="H166" s="64"/>
      <c r="I166" s="137" t="str">
        <f t="shared" si="8"/>
        <v/>
      </c>
      <c r="J166" s="137" t="str">
        <f t="shared" si="9"/>
        <v/>
      </c>
      <c r="K166" s="138" t="str">
        <f t="shared" si="10"/>
        <v/>
      </c>
      <c r="L166" s="138" t="str">
        <f t="shared" si="11"/>
        <v/>
      </c>
      <c r="M166" s="61"/>
      <c r="N166" s="61"/>
      <c r="O166" s="61"/>
      <c r="P166" s="61"/>
    </row>
    <row r="167" spans="1:16" ht="15" customHeight="1" x14ac:dyDescent="0.25">
      <c r="A167" s="61"/>
      <c r="B167" s="61"/>
      <c r="C167" s="61"/>
      <c r="D167" s="135"/>
      <c r="E167" s="64"/>
      <c r="F167" s="64"/>
      <c r="G167" s="64"/>
      <c r="H167" s="64"/>
      <c r="I167" s="137" t="str">
        <f t="shared" si="8"/>
        <v/>
      </c>
      <c r="J167" s="137" t="str">
        <f t="shared" si="9"/>
        <v/>
      </c>
      <c r="K167" s="138" t="str">
        <f t="shared" si="10"/>
        <v/>
      </c>
      <c r="L167" s="138" t="str">
        <f t="shared" si="11"/>
        <v/>
      </c>
      <c r="M167" s="61"/>
      <c r="N167" s="61"/>
      <c r="O167" s="61"/>
      <c r="P167" s="61"/>
    </row>
    <row r="168" spans="1:16" ht="15" customHeight="1" x14ac:dyDescent="0.25">
      <c r="A168" s="61"/>
      <c r="B168" s="61"/>
      <c r="C168" s="61"/>
      <c r="D168" s="135"/>
      <c r="E168" s="64"/>
      <c r="F168" s="64"/>
      <c r="G168" s="64"/>
      <c r="H168" s="64"/>
      <c r="I168" s="137" t="str">
        <f t="shared" si="8"/>
        <v/>
      </c>
      <c r="J168" s="137" t="str">
        <f t="shared" si="9"/>
        <v/>
      </c>
      <c r="K168" s="138" t="str">
        <f t="shared" si="10"/>
        <v/>
      </c>
      <c r="L168" s="138" t="str">
        <f t="shared" si="11"/>
        <v/>
      </c>
      <c r="M168" s="61"/>
      <c r="N168" s="61"/>
      <c r="O168" s="61"/>
      <c r="P168" s="61"/>
    </row>
    <row r="169" spans="1:16" ht="15" customHeight="1" x14ac:dyDescent="0.25">
      <c r="A169" s="61"/>
      <c r="B169" s="61"/>
      <c r="C169" s="61"/>
      <c r="D169" s="135"/>
      <c r="E169" s="64"/>
      <c r="F169" s="64"/>
      <c r="G169" s="64"/>
      <c r="H169" s="64"/>
      <c r="I169" s="137" t="str">
        <f t="shared" si="8"/>
        <v/>
      </c>
      <c r="J169" s="137" t="str">
        <f t="shared" si="9"/>
        <v/>
      </c>
      <c r="K169" s="138" t="str">
        <f t="shared" si="10"/>
        <v/>
      </c>
      <c r="L169" s="138" t="str">
        <f t="shared" si="11"/>
        <v/>
      </c>
      <c r="M169" s="61"/>
      <c r="N169" s="61"/>
      <c r="O169" s="61"/>
      <c r="P169" s="61"/>
    </row>
    <row r="170" spans="1:16" ht="15" customHeight="1" x14ac:dyDescent="0.25">
      <c r="A170" s="61"/>
      <c r="B170" s="61"/>
      <c r="C170" s="61"/>
      <c r="D170" s="135"/>
      <c r="E170" s="64"/>
      <c r="F170" s="64"/>
      <c r="G170" s="64"/>
      <c r="H170" s="64"/>
      <c r="I170" s="137" t="str">
        <f t="shared" si="8"/>
        <v/>
      </c>
      <c r="J170" s="137" t="str">
        <f t="shared" si="9"/>
        <v/>
      </c>
      <c r="K170" s="138" t="str">
        <f t="shared" si="10"/>
        <v/>
      </c>
      <c r="L170" s="138" t="str">
        <f t="shared" si="11"/>
        <v/>
      </c>
      <c r="M170" s="61"/>
      <c r="N170" s="61"/>
      <c r="O170" s="61"/>
      <c r="P170" s="61"/>
    </row>
    <row r="171" spans="1:16" ht="15" customHeight="1" x14ac:dyDescent="0.25">
      <c r="A171" s="61"/>
      <c r="B171" s="61"/>
      <c r="C171" s="61"/>
      <c r="D171" s="135"/>
      <c r="E171" s="64"/>
      <c r="F171" s="64"/>
      <c r="G171" s="64"/>
      <c r="H171" s="64"/>
      <c r="I171" s="137" t="str">
        <f t="shared" si="8"/>
        <v/>
      </c>
      <c r="J171" s="137" t="str">
        <f t="shared" si="9"/>
        <v/>
      </c>
      <c r="K171" s="138" t="str">
        <f t="shared" si="10"/>
        <v/>
      </c>
      <c r="L171" s="138" t="str">
        <f t="shared" si="11"/>
        <v/>
      </c>
      <c r="M171" s="61"/>
      <c r="N171" s="61"/>
      <c r="O171" s="61"/>
      <c r="P171" s="61"/>
    </row>
    <row r="172" spans="1:16" ht="15" customHeight="1" x14ac:dyDescent="0.25">
      <c r="A172" s="61"/>
      <c r="B172" s="61"/>
      <c r="C172" s="61"/>
      <c r="D172" s="135"/>
      <c r="E172" s="64"/>
      <c r="F172" s="64"/>
      <c r="G172" s="64"/>
      <c r="H172" s="64"/>
      <c r="I172" s="137" t="str">
        <f t="shared" si="8"/>
        <v/>
      </c>
      <c r="J172" s="137" t="str">
        <f t="shared" si="9"/>
        <v/>
      </c>
      <c r="K172" s="138" t="str">
        <f t="shared" si="10"/>
        <v/>
      </c>
      <c r="L172" s="138" t="str">
        <f t="shared" si="11"/>
        <v/>
      </c>
      <c r="M172" s="61"/>
      <c r="N172" s="61"/>
      <c r="O172" s="61"/>
      <c r="P172" s="61"/>
    </row>
    <row r="173" spans="1:16" ht="15" customHeight="1" x14ac:dyDescent="0.25">
      <c r="A173" s="61"/>
      <c r="B173" s="61"/>
      <c r="C173" s="61"/>
      <c r="D173" s="135"/>
      <c r="E173" s="64"/>
      <c r="F173" s="64"/>
      <c r="G173" s="64"/>
      <c r="H173" s="64"/>
      <c r="I173" s="137" t="str">
        <f t="shared" si="8"/>
        <v/>
      </c>
      <c r="J173" s="137" t="str">
        <f t="shared" si="9"/>
        <v/>
      </c>
      <c r="K173" s="138" t="str">
        <f t="shared" si="10"/>
        <v/>
      </c>
      <c r="L173" s="138" t="str">
        <f t="shared" si="11"/>
        <v/>
      </c>
      <c r="M173" s="61"/>
      <c r="N173" s="61"/>
      <c r="O173" s="61"/>
      <c r="P173" s="61"/>
    </row>
    <row r="174" spans="1:16" ht="15" customHeight="1" x14ac:dyDescent="0.25">
      <c r="A174" s="61"/>
      <c r="B174" s="61"/>
      <c r="C174" s="61"/>
      <c r="D174" s="135"/>
      <c r="E174" s="64"/>
      <c r="F174" s="64"/>
      <c r="G174" s="64"/>
      <c r="H174" s="64"/>
      <c r="I174" s="137" t="str">
        <f t="shared" si="8"/>
        <v/>
      </c>
      <c r="J174" s="137" t="str">
        <f t="shared" si="9"/>
        <v/>
      </c>
      <c r="K174" s="138" t="str">
        <f t="shared" si="10"/>
        <v/>
      </c>
      <c r="L174" s="138" t="str">
        <f t="shared" si="11"/>
        <v/>
      </c>
      <c r="M174" s="61"/>
      <c r="N174" s="61"/>
      <c r="O174" s="61"/>
      <c r="P174" s="61"/>
    </row>
    <row r="175" spans="1:16" ht="15" customHeight="1" x14ac:dyDescent="0.25">
      <c r="A175" s="61"/>
      <c r="B175" s="61"/>
      <c r="C175" s="61"/>
      <c r="D175" s="135"/>
      <c r="E175" s="64"/>
      <c r="F175" s="64"/>
      <c r="G175" s="64"/>
      <c r="H175" s="64"/>
      <c r="I175" s="137" t="str">
        <f t="shared" si="8"/>
        <v/>
      </c>
      <c r="J175" s="137" t="str">
        <f t="shared" si="9"/>
        <v/>
      </c>
      <c r="K175" s="138" t="str">
        <f t="shared" si="10"/>
        <v/>
      </c>
      <c r="L175" s="138" t="str">
        <f t="shared" si="11"/>
        <v/>
      </c>
      <c r="M175" s="61"/>
      <c r="N175" s="61"/>
      <c r="O175" s="61"/>
      <c r="P175" s="61"/>
    </row>
    <row r="176" spans="1:16" ht="15" customHeight="1" x14ac:dyDescent="0.25">
      <c r="A176" s="61"/>
      <c r="B176" s="61"/>
      <c r="C176" s="61"/>
      <c r="D176" s="135"/>
      <c r="E176" s="64"/>
      <c r="F176" s="64"/>
      <c r="G176" s="64"/>
      <c r="H176" s="64"/>
      <c r="I176" s="137" t="str">
        <f t="shared" si="8"/>
        <v/>
      </c>
      <c r="J176" s="137" t="str">
        <f t="shared" si="9"/>
        <v/>
      </c>
      <c r="K176" s="138" t="str">
        <f t="shared" si="10"/>
        <v/>
      </c>
      <c r="L176" s="138" t="str">
        <f t="shared" si="11"/>
        <v/>
      </c>
      <c r="M176" s="61"/>
      <c r="N176" s="61"/>
      <c r="O176" s="61"/>
      <c r="P176" s="61"/>
    </row>
    <row r="177" spans="1:16" ht="15" customHeight="1" x14ac:dyDescent="0.25">
      <c r="A177" s="61"/>
      <c r="B177" s="61"/>
      <c r="C177" s="61"/>
      <c r="D177" s="135"/>
      <c r="E177" s="64"/>
      <c r="F177" s="64"/>
      <c r="G177" s="64"/>
      <c r="H177" s="64"/>
      <c r="I177" s="137" t="str">
        <f t="shared" si="8"/>
        <v/>
      </c>
      <c r="J177" s="137" t="str">
        <f t="shared" si="9"/>
        <v/>
      </c>
      <c r="K177" s="138" t="str">
        <f t="shared" si="10"/>
        <v/>
      </c>
      <c r="L177" s="138" t="str">
        <f t="shared" si="11"/>
        <v/>
      </c>
      <c r="M177" s="61"/>
      <c r="N177" s="61"/>
      <c r="O177" s="61"/>
      <c r="P177" s="61"/>
    </row>
    <row r="178" spans="1:16" ht="15" customHeight="1" x14ac:dyDescent="0.25">
      <c r="A178" s="61"/>
      <c r="B178" s="61"/>
      <c r="C178" s="61"/>
      <c r="D178" s="135"/>
      <c r="E178" s="64"/>
      <c r="F178" s="64"/>
      <c r="G178" s="64"/>
      <c r="H178" s="64"/>
      <c r="I178" s="137" t="str">
        <f t="shared" si="8"/>
        <v/>
      </c>
      <c r="J178" s="137" t="str">
        <f t="shared" si="9"/>
        <v/>
      </c>
      <c r="K178" s="138" t="str">
        <f t="shared" si="10"/>
        <v/>
      </c>
      <c r="L178" s="138" t="str">
        <f t="shared" si="11"/>
        <v/>
      </c>
      <c r="M178" s="61"/>
      <c r="N178" s="61"/>
      <c r="O178" s="61"/>
      <c r="P178" s="61"/>
    </row>
    <row r="179" spans="1:16" ht="15" customHeight="1" x14ac:dyDescent="0.25">
      <c r="A179" s="61"/>
      <c r="B179" s="61"/>
      <c r="C179" s="61"/>
      <c r="D179" s="135"/>
      <c r="E179" s="64"/>
      <c r="F179" s="64"/>
      <c r="G179" s="64"/>
      <c r="H179" s="64"/>
      <c r="I179" s="137" t="str">
        <f t="shared" si="8"/>
        <v/>
      </c>
      <c r="J179" s="137" t="str">
        <f t="shared" si="9"/>
        <v/>
      </c>
      <c r="K179" s="138" t="str">
        <f t="shared" si="10"/>
        <v/>
      </c>
      <c r="L179" s="138" t="str">
        <f t="shared" si="11"/>
        <v/>
      </c>
      <c r="M179" s="61"/>
      <c r="N179" s="61"/>
      <c r="O179" s="61"/>
      <c r="P179" s="61"/>
    </row>
    <row r="180" spans="1:16" ht="15" customHeight="1" x14ac:dyDescent="0.25">
      <c r="A180" s="61"/>
      <c r="B180" s="61"/>
      <c r="C180" s="61"/>
      <c r="D180" s="135"/>
      <c r="E180" s="64"/>
      <c r="F180" s="64"/>
      <c r="G180" s="64"/>
      <c r="H180" s="64"/>
      <c r="I180" s="137" t="str">
        <f t="shared" si="8"/>
        <v/>
      </c>
      <c r="J180" s="137" t="str">
        <f t="shared" si="9"/>
        <v/>
      </c>
      <c r="K180" s="138" t="str">
        <f t="shared" si="10"/>
        <v/>
      </c>
      <c r="L180" s="138" t="str">
        <f t="shared" si="11"/>
        <v/>
      </c>
      <c r="M180" s="61"/>
      <c r="N180" s="61"/>
      <c r="O180" s="61"/>
      <c r="P180" s="61"/>
    </row>
    <row r="181" spans="1:16" ht="15" customHeight="1" x14ac:dyDescent="0.25">
      <c r="A181" s="61"/>
      <c r="B181" s="61"/>
      <c r="C181" s="61"/>
      <c r="D181" s="135"/>
      <c r="E181" s="64"/>
      <c r="F181" s="64"/>
      <c r="G181" s="64"/>
      <c r="H181" s="64"/>
      <c r="I181" s="137" t="str">
        <f t="shared" si="8"/>
        <v/>
      </c>
      <c r="J181" s="137" t="str">
        <f t="shared" si="9"/>
        <v/>
      </c>
      <c r="K181" s="138" t="str">
        <f t="shared" si="10"/>
        <v/>
      </c>
      <c r="L181" s="138" t="str">
        <f t="shared" si="11"/>
        <v/>
      </c>
      <c r="M181" s="61"/>
      <c r="N181" s="61"/>
      <c r="O181" s="61"/>
      <c r="P181" s="61"/>
    </row>
    <row r="182" spans="1:16" ht="15" customHeight="1" x14ac:dyDescent="0.25">
      <c r="A182" s="61"/>
      <c r="B182" s="61"/>
      <c r="C182" s="61"/>
      <c r="D182" s="135"/>
      <c r="E182" s="64"/>
      <c r="F182" s="64"/>
      <c r="G182" s="64"/>
      <c r="H182" s="64"/>
      <c r="I182" s="137" t="str">
        <f t="shared" si="8"/>
        <v/>
      </c>
      <c r="J182" s="137" t="str">
        <f t="shared" si="9"/>
        <v/>
      </c>
      <c r="K182" s="138" t="str">
        <f t="shared" si="10"/>
        <v/>
      </c>
      <c r="L182" s="138" t="str">
        <f t="shared" si="11"/>
        <v/>
      </c>
      <c r="M182" s="61"/>
      <c r="N182" s="61"/>
      <c r="O182" s="61"/>
      <c r="P182" s="61"/>
    </row>
    <row r="183" spans="1:16" ht="15" customHeight="1" x14ac:dyDescent="0.25">
      <c r="A183" s="61"/>
      <c r="B183" s="61"/>
      <c r="C183" s="61"/>
      <c r="D183" s="135"/>
      <c r="E183" s="64"/>
      <c r="F183" s="64"/>
      <c r="G183" s="64"/>
      <c r="H183" s="64"/>
      <c r="I183" s="137" t="str">
        <f t="shared" si="8"/>
        <v/>
      </c>
      <c r="J183" s="137" t="str">
        <f t="shared" si="9"/>
        <v/>
      </c>
      <c r="K183" s="138" t="str">
        <f t="shared" si="10"/>
        <v/>
      </c>
      <c r="L183" s="138" t="str">
        <f t="shared" si="11"/>
        <v/>
      </c>
      <c r="M183" s="61"/>
      <c r="N183" s="61"/>
      <c r="O183" s="61"/>
      <c r="P183" s="61"/>
    </row>
    <row r="184" spans="1:16" ht="15" customHeight="1" x14ac:dyDescent="0.25">
      <c r="A184" s="61"/>
      <c r="B184" s="61"/>
      <c r="C184" s="61"/>
      <c r="D184" s="135"/>
      <c r="E184" s="64"/>
      <c r="F184" s="64"/>
      <c r="G184" s="64"/>
      <c r="H184" s="64"/>
      <c r="I184" s="137" t="str">
        <f t="shared" si="8"/>
        <v/>
      </c>
      <c r="J184" s="137" t="str">
        <f t="shared" si="9"/>
        <v/>
      </c>
      <c r="K184" s="138" t="str">
        <f t="shared" si="10"/>
        <v/>
      </c>
      <c r="L184" s="138" t="str">
        <f t="shared" si="11"/>
        <v/>
      </c>
      <c r="M184" s="61"/>
      <c r="N184" s="61"/>
      <c r="O184" s="61"/>
      <c r="P184" s="61"/>
    </row>
    <row r="185" spans="1:16" ht="15" customHeight="1" x14ac:dyDescent="0.25">
      <c r="A185" s="61"/>
      <c r="B185" s="61"/>
      <c r="C185" s="61"/>
      <c r="D185" s="135"/>
      <c r="E185" s="64"/>
      <c r="F185" s="64"/>
      <c r="G185" s="64"/>
      <c r="H185" s="64"/>
      <c r="I185" s="137" t="str">
        <f t="shared" si="8"/>
        <v/>
      </c>
      <c r="J185" s="137" t="str">
        <f t="shared" si="9"/>
        <v/>
      </c>
      <c r="K185" s="138" t="str">
        <f t="shared" si="10"/>
        <v/>
      </c>
      <c r="L185" s="138" t="str">
        <f t="shared" si="11"/>
        <v/>
      </c>
      <c r="M185" s="61"/>
      <c r="N185" s="61"/>
      <c r="O185" s="61"/>
      <c r="P185" s="61"/>
    </row>
    <row r="186" spans="1:16" ht="15" customHeight="1" x14ac:dyDescent="0.25">
      <c r="A186" s="61"/>
      <c r="B186" s="61"/>
      <c r="C186" s="61"/>
      <c r="D186" s="135"/>
      <c r="E186" s="64"/>
      <c r="F186" s="64"/>
      <c r="G186" s="64"/>
      <c r="H186" s="64"/>
      <c r="I186" s="137" t="str">
        <f t="shared" si="8"/>
        <v/>
      </c>
      <c r="J186" s="137" t="str">
        <f t="shared" si="9"/>
        <v/>
      </c>
      <c r="K186" s="138" t="str">
        <f t="shared" si="10"/>
        <v/>
      </c>
      <c r="L186" s="138" t="str">
        <f t="shared" si="11"/>
        <v/>
      </c>
      <c r="M186" s="61"/>
      <c r="N186" s="61"/>
      <c r="O186" s="61"/>
      <c r="P186" s="61"/>
    </row>
    <row r="187" spans="1:16" ht="15" customHeight="1" x14ac:dyDescent="0.25">
      <c r="A187" s="61"/>
      <c r="B187" s="61"/>
      <c r="C187" s="61"/>
      <c r="D187" s="135"/>
      <c r="E187" s="64"/>
      <c r="F187" s="64"/>
      <c r="G187" s="64"/>
      <c r="H187" s="64"/>
      <c r="I187" s="137" t="str">
        <f t="shared" si="8"/>
        <v/>
      </c>
      <c r="J187" s="137" t="str">
        <f t="shared" si="9"/>
        <v/>
      </c>
      <c r="K187" s="138" t="str">
        <f t="shared" si="10"/>
        <v/>
      </c>
      <c r="L187" s="138" t="str">
        <f t="shared" si="11"/>
        <v/>
      </c>
      <c r="M187" s="61"/>
      <c r="N187" s="61"/>
      <c r="O187" s="61"/>
      <c r="P187" s="61"/>
    </row>
    <row r="188" spans="1:16" ht="15" customHeight="1" x14ac:dyDescent="0.25">
      <c r="A188" s="61"/>
      <c r="B188" s="61"/>
      <c r="C188" s="61"/>
      <c r="D188" s="135"/>
      <c r="E188" s="64"/>
      <c r="F188" s="64"/>
      <c r="G188" s="64"/>
      <c r="H188" s="64"/>
      <c r="I188" s="137" t="str">
        <f t="shared" si="8"/>
        <v/>
      </c>
      <c r="J188" s="137" t="str">
        <f t="shared" si="9"/>
        <v/>
      </c>
      <c r="K188" s="138" t="str">
        <f t="shared" si="10"/>
        <v/>
      </c>
      <c r="L188" s="138" t="str">
        <f t="shared" si="11"/>
        <v/>
      </c>
      <c r="M188" s="61"/>
      <c r="N188" s="61"/>
      <c r="O188" s="61"/>
      <c r="P188" s="61"/>
    </row>
    <row r="189" spans="1:16" ht="15" customHeight="1" x14ac:dyDescent="0.25">
      <c r="A189" s="61"/>
      <c r="B189" s="61"/>
      <c r="C189" s="61"/>
      <c r="D189" s="135"/>
      <c r="E189" s="64"/>
      <c r="F189" s="64"/>
      <c r="G189" s="64"/>
      <c r="H189" s="64"/>
      <c r="I189" s="137" t="str">
        <f t="shared" si="8"/>
        <v/>
      </c>
      <c r="J189" s="137" t="str">
        <f t="shared" si="9"/>
        <v/>
      </c>
      <c r="K189" s="138" t="str">
        <f t="shared" si="10"/>
        <v/>
      </c>
      <c r="L189" s="138" t="str">
        <f t="shared" si="11"/>
        <v/>
      </c>
      <c r="M189" s="61"/>
      <c r="N189" s="61"/>
      <c r="O189" s="61"/>
      <c r="P189" s="61"/>
    </row>
    <row r="190" spans="1:16" ht="15" customHeight="1" x14ac:dyDescent="0.25">
      <c r="A190" s="61"/>
      <c r="B190" s="61"/>
      <c r="C190" s="61"/>
      <c r="D190" s="135"/>
      <c r="E190" s="64"/>
      <c r="F190" s="64"/>
      <c r="G190" s="64"/>
      <c r="H190" s="64"/>
      <c r="I190" s="137" t="str">
        <f t="shared" si="8"/>
        <v/>
      </c>
      <c r="J190" s="137" t="str">
        <f t="shared" si="9"/>
        <v/>
      </c>
      <c r="K190" s="138" t="str">
        <f t="shared" si="10"/>
        <v/>
      </c>
      <c r="L190" s="138" t="str">
        <f t="shared" si="11"/>
        <v/>
      </c>
      <c r="M190" s="61"/>
      <c r="N190" s="61"/>
      <c r="O190" s="61"/>
      <c r="P190" s="61"/>
    </row>
    <row r="191" spans="1:16" ht="15" customHeight="1" x14ac:dyDescent="0.25">
      <c r="A191" s="61"/>
      <c r="B191" s="61"/>
      <c r="C191" s="61"/>
      <c r="D191" s="135"/>
      <c r="E191" s="64"/>
      <c r="F191" s="64"/>
      <c r="G191" s="64"/>
      <c r="H191" s="64"/>
      <c r="I191" s="137" t="str">
        <f t="shared" si="8"/>
        <v/>
      </c>
      <c r="J191" s="137" t="str">
        <f t="shared" si="9"/>
        <v/>
      </c>
      <c r="K191" s="138" t="str">
        <f t="shared" si="10"/>
        <v/>
      </c>
      <c r="L191" s="138" t="str">
        <f t="shared" si="11"/>
        <v/>
      </c>
      <c r="M191" s="61"/>
      <c r="N191" s="61"/>
      <c r="O191" s="61"/>
      <c r="P191" s="61"/>
    </row>
    <row r="192" spans="1:16" ht="15" customHeight="1" x14ac:dyDescent="0.25">
      <c r="A192" s="61"/>
      <c r="B192" s="61"/>
      <c r="C192" s="61"/>
      <c r="D192" s="135"/>
      <c r="E192" s="64"/>
      <c r="F192" s="64"/>
      <c r="G192" s="64"/>
      <c r="H192" s="64"/>
      <c r="I192" s="137" t="str">
        <f t="shared" si="8"/>
        <v/>
      </c>
      <c r="J192" s="137" t="str">
        <f t="shared" si="9"/>
        <v/>
      </c>
      <c r="K192" s="138" t="str">
        <f t="shared" si="10"/>
        <v/>
      </c>
      <c r="L192" s="138" t="str">
        <f t="shared" si="11"/>
        <v/>
      </c>
      <c r="M192" s="61"/>
      <c r="N192" s="61"/>
      <c r="O192" s="61"/>
      <c r="P192" s="61"/>
    </row>
    <row r="193" spans="1:16" ht="15" customHeight="1" x14ac:dyDescent="0.25">
      <c r="A193" s="61"/>
      <c r="B193" s="61"/>
      <c r="C193" s="61"/>
      <c r="D193" s="135"/>
      <c r="E193" s="64"/>
      <c r="F193" s="64"/>
      <c r="G193" s="64"/>
      <c r="H193" s="64"/>
      <c r="I193" s="137" t="str">
        <f t="shared" si="8"/>
        <v/>
      </c>
      <c r="J193" s="137" t="str">
        <f t="shared" si="9"/>
        <v/>
      </c>
      <c r="K193" s="138" t="str">
        <f t="shared" si="10"/>
        <v/>
      </c>
      <c r="L193" s="138" t="str">
        <f t="shared" si="11"/>
        <v/>
      </c>
      <c r="M193" s="61"/>
      <c r="N193" s="61"/>
      <c r="O193" s="61"/>
      <c r="P193" s="61"/>
    </row>
    <row r="194" spans="1:16" ht="15" customHeight="1" x14ac:dyDescent="0.25">
      <c r="A194" s="61"/>
      <c r="B194" s="61"/>
      <c r="C194" s="61"/>
      <c r="D194" s="135"/>
      <c r="E194" s="64"/>
      <c r="F194" s="64"/>
      <c r="G194" s="64"/>
      <c r="H194" s="64"/>
      <c r="I194" s="137" t="str">
        <f t="shared" si="8"/>
        <v/>
      </c>
      <c r="J194" s="137" t="str">
        <f t="shared" si="9"/>
        <v/>
      </c>
      <c r="K194" s="138" t="str">
        <f t="shared" si="10"/>
        <v/>
      </c>
      <c r="L194" s="138" t="str">
        <f t="shared" si="11"/>
        <v/>
      </c>
      <c r="M194" s="61"/>
      <c r="N194" s="61"/>
      <c r="O194" s="61"/>
      <c r="P194" s="61"/>
    </row>
    <row r="195" spans="1:16" ht="15" customHeight="1" x14ac:dyDescent="0.25">
      <c r="A195" s="61"/>
      <c r="B195" s="61"/>
      <c r="C195" s="61"/>
      <c r="D195" s="135"/>
      <c r="E195" s="64"/>
      <c r="F195" s="64"/>
      <c r="G195" s="64"/>
      <c r="H195" s="64"/>
      <c r="I195" s="137" t="str">
        <f t="shared" ref="I195:I258" si="12">IFERROR(IF(E195="","",E195*F195*H195/1000000),"")</f>
        <v/>
      </c>
      <c r="J195" s="137" t="str">
        <f t="shared" ref="J195:J258" si="13">IFERROR(IF(E195="","",(E195+F195)*H195/1000),"")</f>
        <v/>
      </c>
      <c r="K195" s="138" t="str">
        <f t="shared" ref="K195:K258" si="14">IFERROR(IF(D195="","",VLOOKUP(D195,Materials_Table,6,FALSE())),"")</f>
        <v/>
      </c>
      <c r="L195" s="138" t="str">
        <f t="shared" ref="L195:L258" si="15">IFERROR(IF(OR(I195="",K195=""),"",I195*K195),"")</f>
        <v/>
      </c>
      <c r="M195" s="61"/>
      <c r="N195" s="61"/>
      <c r="O195" s="61"/>
      <c r="P195" s="61"/>
    </row>
    <row r="196" spans="1:16" ht="15" customHeight="1" x14ac:dyDescent="0.25">
      <c r="A196" s="61"/>
      <c r="B196" s="61"/>
      <c r="C196" s="61"/>
      <c r="D196" s="135"/>
      <c r="E196" s="64"/>
      <c r="F196" s="64"/>
      <c r="G196" s="64"/>
      <c r="H196" s="64"/>
      <c r="I196" s="137" t="str">
        <f t="shared" si="12"/>
        <v/>
      </c>
      <c r="J196" s="137" t="str">
        <f t="shared" si="13"/>
        <v/>
      </c>
      <c r="K196" s="138" t="str">
        <f t="shared" si="14"/>
        <v/>
      </c>
      <c r="L196" s="138" t="str">
        <f t="shared" si="15"/>
        <v/>
      </c>
      <c r="M196" s="61"/>
      <c r="N196" s="61"/>
      <c r="O196" s="61"/>
      <c r="P196" s="61"/>
    </row>
    <row r="197" spans="1:16" ht="15" customHeight="1" x14ac:dyDescent="0.25">
      <c r="A197" s="61"/>
      <c r="B197" s="61"/>
      <c r="C197" s="61"/>
      <c r="D197" s="135"/>
      <c r="E197" s="64"/>
      <c r="F197" s="64"/>
      <c r="G197" s="64"/>
      <c r="H197" s="64"/>
      <c r="I197" s="137" t="str">
        <f t="shared" si="12"/>
        <v/>
      </c>
      <c r="J197" s="137" t="str">
        <f t="shared" si="13"/>
        <v/>
      </c>
      <c r="K197" s="138" t="str">
        <f t="shared" si="14"/>
        <v/>
      </c>
      <c r="L197" s="138" t="str">
        <f t="shared" si="15"/>
        <v/>
      </c>
      <c r="M197" s="61"/>
      <c r="N197" s="61"/>
      <c r="O197" s="61"/>
      <c r="P197" s="61"/>
    </row>
    <row r="198" spans="1:16" ht="15" customHeight="1" x14ac:dyDescent="0.25">
      <c r="A198" s="61"/>
      <c r="B198" s="61"/>
      <c r="C198" s="61"/>
      <c r="D198" s="135"/>
      <c r="E198" s="64"/>
      <c r="F198" s="64"/>
      <c r="G198" s="64"/>
      <c r="H198" s="64"/>
      <c r="I198" s="137" t="str">
        <f t="shared" si="12"/>
        <v/>
      </c>
      <c r="J198" s="137" t="str">
        <f t="shared" si="13"/>
        <v/>
      </c>
      <c r="K198" s="138" t="str">
        <f t="shared" si="14"/>
        <v/>
      </c>
      <c r="L198" s="138" t="str">
        <f t="shared" si="15"/>
        <v/>
      </c>
      <c r="M198" s="61"/>
      <c r="N198" s="61"/>
      <c r="O198" s="61"/>
      <c r="P198" s="61"/>
    </row>
    <row r="199" spans="1:16" ht="15" customHeight="1" x14ac:dyDescent="0.25">
      <c r="A199" s="61"/>
      <c r="B199" s="61"/>
      <c r="C199" s="61"/>
      <c r="D199" s="135"/>
      <c r="E199" s="64"/>
      <c r="F199" s="64"/>
      <c r="G199" s="64"/>
      <c r="H199" s="64"/>
      <c r="I199" s="137" t="str">
        <f t="shared" si="12"/>
        <v/>
      </c>
      <c r="J199" s="137" t="str">
        <f t="shared" si="13"/>
        <v/>
      </c>
      <c r="K199" s="138" t="str">
        <f t="shared" si="14"/>
        <v/>
      </c>
      <c r="L199" s="138" t="str">
        <f t="shared" si="15"/>
        <v/>
      </c>
      <c r="M199" s="61"/>
      <c r="N199" s="61"/>
      <c r="O199" s="61"/>
      <c r="P199" s="61"/>
    </row>
    <row r="200" spans="1:16" ht="15" customHeight="1" x14ac:dyDescent="0.25">
      <c r="A200" s="61"/>
      <c r="B200" s="61"/>
      <c r="C200" s="61"/>
      <c r="D200" s="135"/>
      <c r="E200" s="64"/>
      <c r="F200" s="64"/>
      <c r="G200" s="64"/>
      <c r="H200" s="64"/>
      <c r="I200" s="137" t="str">
        <f t="shared" si="12"/>
        <v/>
      </c>
      <c r="J200" s="137" t="str">
        <f t="shared" si="13"/>
        <v/>
      </c>
      <c r="K200" s="138" t="str">
        <f t="shared" si="14"/>
        <v/>
      </c>
      <c r="L200" s="138" t="str">
        <f t="shared" si="15"/>
        <v/>
      </c>
      <c r="M200" s="61"/>
      <c r="N200" s="61"/>
      <c r="O200" s="61"/>
      <c r="P200" s="61"/>
    </row>
    <row r="201" spans="1:16" ht="15" customHeight="1" x14ac:dyDescent="0.25">
      <c r="A201" s="61"/>
      <c r="B201" s="61"/>
      <c r="C201" s="61"/>
      <c r="D201" s="135"/>
      <c r="E201" s="64"/>
      <c r="F201" s="64"/>
      <c r="G201" s="64"/>
      <c r="H201" s="64"/>
      <c r="I201" s="137" t="str">
        <f t="shared" si="12"/>
        <v/>
      </c>
      <c r="J201" s="137" t="str">
        <f t="shared" si="13"/>
        <v/>
      </c>
      <c r="K201" s="138" t="str">
        <f t="shared" si="14"/>
        <v/>
      </c>
      <c r="L201" s="138" t="str">
        <f t="shared" si="15"/>
        <v/>
      </c>
      <c r="M201" s="61"/>
      <c r="N201" s="61"/>
      <c r="O201" s="61"/>
      <c r="P201" s="61"/>
    </row>
    <row r="202" spans="1:16" ht="15" customHeight="1" x14ac:dyDescent="0.25">
      <c r="A202" s="61"/>
      <c r="B202" s="61"/>
      <c r="C202" s="61"/>
      <c r="D202" s="135"/>
      <c r="E202" s="64"/>
      <c r="F202" s="64"/>
      <c r="G202" s="64"/>
      <c r="H202" s="64"/>
      <c r="I202" s="137" t="str">
        <f t="shared" si="12"/>
        <v/>
      </c>
      <c r="J202" s="137" t="str">
        <f t="shared" si="13"/>
        <v/>
      </c>
      <c r="K202" s="138" t="str">
        <f t="shared" si="14"/>
        <v/>
      </c>
      <c r="L202" s="138" t="str">
        <f t="shared" si="15"/>
        <v/>
      </c>
      <c r="M202" s="61"/>
      <c r="N202" s="61"/>
      <c r="O202" s="61"/>
      <c r="P202" s="61"/>
    </row>
    <row r="203" spans="1:16" ht="15" customHeight="1" x14ac:dyDescent="0.25">
      <c r="A203" s="61"/>
      <c r="B203" s="61"/>
      <c r="C203" s="61"/>
      <c r="D203" s="135"/>
      <c r="E203" s="64"/>
      <c r="F203" s="64"/>
      <c r="G203" s="64"/>
      <c r="H203" s="64"/>
      <c r="I203" s="137" t="str">
        <f t="shared" si="12"/>
        <v/>
      </c>
      <c r="J203" s="137" t="str">
        <f t="shared" si="13"/>
        <v/>
      </c>
      <c r="K203" s="138" t="str">
        <f t="shared" si="14"/>
        <v/>
      </c>
      <c r="L203" s="138" t="str">
        <f t="shared" si="15"/>
        <v/>
      </c>
      <c r="M203" s="61"/>
      <c r="N203" s="61"/>
      <c r="O203" s="61"/>
      <c r="P203" s="61"/>
    </row>
    <row r="204" spans="1:16" ht="15" customHeight="1" x14ac:dyDescent="0.25">
      <c r="A204" s="61"/>
      <c r="B204" s="61"/>
      <c r="C204" s="61"/>
      <c r="D204" s="135"/>
      <c r="E204" s="64"/>
      <c r="F204" s="64"/>
      <c r="G204" s="64"/>
      <c r="H204" s="64"/>
      <c r="I204" s="137" t="str">
        <f t="shared" si="12"/>
        <v/>
      </c>
      <c r="J204" s="137" t="str">
        <f t="shared" si="13"/>
        <v/>
      </c>
      <c r="K204" s="138" t="str">
        <f t="shared" si="14"/>
        <v/>
      </c>
      <c r="L204" s="138" t="str">
        <f t="shared" si="15"/>
        <v/>
      </c>
      <c r="M204" s="61"/>
      <c r="N204" s="61"/>
      <c r="O204" s="61"/>
      <c r="P204" s="61"/>
    </row>
    <row r="205" spans="1:16" ht="15" customHeight="1" x14ac:dyDescent="0.25">
      <c r="A205" s="61"/>
      <c r="B205" s="61"/>
      <c r="C205" s="61"/>
      <c r="D205" s="135"/>
      <c r="E205" s="64"/>
      <c r="F205" s="64"/>
      <c r="G205" s="64"/>
      <c r="H205" s="64"/>
      <c r="I205" s="137" t="str">
        <f t="shared" si="12"/>
        <v/>
      </c>
      <c r="J205" s="137" t="str">
        <f t="shared" si="13"/>
        <v/>
      </c>
      <c r="K205" s="138" t="str">
        <f t="shared" si="14"/>
        <v/>
      </c>
      <c r="L205" s="138" t="str">
        <f t="shared" si="15"/>
        <v/>
      </c>
      <c r="M205" s="61"/>
      <c r="N205" s="61"/>
      <c r="O205" s="61"/>
      <c r="P205" s="61"/>
    </row>
    <row r="206" spans="1:16" ht="15" customHeight="1" x14ac:dyDescent="0.25">
      <c r="A206" s="61"/>
      <c r="B206" s="61"/>
      <c r="C206" s="61"/>
      <c r="D206" s="135"/>
      <c r="E206" s="64"/>
      <c r="F206" s="64"/>
      <c r="G206" s="64"/>
      <c r="H206" s="64"/>
      <c r="I206" s="137" t="str">
        <f t="shared" si="12"/>
        <v/>
      </c>
      <c r="J206" s="137" t="str">
        <f t="shared" si="13"/>
        <v/>
      </c>
      <c r="K206" s="138" t="str">
        <f t="shared" si="14"/>
        <v/>
      </c>
      <c r="L206" s="138" t="str">
        <f t="shared" si="15"/>
        <v/>
      </c>
      <c r="M206" s="61"/>
      <c r="N206" s="61"/>
      <c r="O206" s="61"/>
      <c r="P206" s="61"/>
    </row>
    <row r="207" spans="1:16" ht="15" customHeight="1" x14ac:dyDescent="0.25">
      <c r="A207" s="61"/>
      <c r="B207" s="61"/>
      <c r="C207" s="61"/>
      <c r="D207" s="135"/>
      <c r="E207" s="64"/>
      <c r="F207" s="64"/>
      <c r="G207" s="64"/>
      <c r="H207" s="64"/>
      <c r="I207" s="137" t="str">
        <f t="shared" si="12"/>
        <v/>
      </c>
      <c r="J207" s="137" t="str">
        <f t="shared" si="13"/>
        <v/>
      </c>
      <c r="K207" s="138" t="str">
        <f t="shared" si="14"/>
        <v/>
      </c>
      <c r="L207" s="138" t="str">
        <f t="shared" si="15"/>
        <v/>
      </c>
      <c r="M207" s="61"/>
      <c r="N207" s="61"/>
      <c r="O207" s="61"/>
      <c r="P207" s="61"/>
    </row>
    <row r="208" spans="1:16" ht="15" customHeight="1" x14ac:dyDescent="0.25">
      <c r="A208" s="61"/>
      <c r="B208" s="61"/>
      <c r="C208" s="61"/>
      <c r="D208" s="135"/>
      <c r="E208" s="64"/>
      <c r="F208" s="64"/>
      <c r="G208" s="64"/>
      <c r="H208" s="64"/>
      <c r="I208" s="137" t="str">
        <f t="shared" si="12"/>
        <v/>
      </c>
      <c r="J208" s="137" t="str">
        <f t="shared" si="13"/>
        <v/>
      </c>
      <c r="K208" s="138" t="str">
        <f t="shared" si="14"/>
        <v/>
      </c>
      <c r="L208" s="138" t="str">
        <f t="shared" si="15"/>
        <v/>
      </c>
      <c r="M208" s="61"/>
      <c r="N208" s="61"/>
      <c r="O208" s="61"/>
      <c r="P208" s="61"/>
    </row>
    <row r="209" spans="1:16" ht="15" customHeight="1" x14ac:dyDescent="0.25">
      <c r="A209" s="61"/>
      <c r="B209" s="61"/>
      <c r="C209" s="61"/>
      <c r="D209" s="135"/>
      <c r="E209" s="64"/>
      <c r="F209" s="64"/>
      <c r="G209" s="64"/>
      <c r="H209" s="64"/>
      <c r="I209" s="137" t="str">
        <f t="shared" si="12"/>
        <v/>
      </c>
      <c r="J209" s="137" t="str">
        <f t="shared" si="13"/>
        <v/>
      </c>
      <c r="K209" s="138" t="str">
        <f t="shared" si="14"/>
        <v/>
      </c>
      <c r="L209" s="138" t="str">
        <f t="shared" si="15"/>
        <v/>
      </c>
      <c r="M209" s="61"/>
      <c r="N209" s="61"/>
      <c r="O209" s="61"/>
      <c r="P209" s="61"/>
    </row>
    <row r="210" spans="1:16" ht="15" customHeight="1" x14ac:dyDescent="0.25">
      <c r="A210" s="61"/>
      <c r="B210" s="61"/>
      <c r="C210" s="61"/>
      <c r="D210" s="135"/>
      <c r="E210" s="64"/>
      <c r="F210" s="64"/>
      <c r="G210" s="64"/>
      <c r="H210" s="64"/>
      <c r="I210" s="137" t="str">
        <f t="shared" si="12"/>
        <v/>
      </c>
      <c r="J210" s="137" t="str">
        <f t="shared" si="13"/>
        <v/>
      </c>
      <c r="K210" s="138" t="str">
        <f t="shared" si="14"/>
        <v/>
      </c>
      <c r="L210" s="138" t="str">
        <f t="shared" si="15"/>
        <v/>
      </c>
      <c r="M210" s="61"/>
      <c r="N210" s="61"/>
      <c r="O210" s="61"/>
      <c r="P210" s="61"/>
    </row>
    <row r="211" spans="1:16" ht="15" customHeight="1" x14ac:dyDescent="0.25">
      <c r="A211" s="61"/>
      <c r="B211" s="61"/>
      <c r="C211" s="61"/>
      <c r="D211" s="135"/>
      <c r="E211" s="64"/>
      <c r="F211" s="64"/>
      <c r="G211" s="64"/>
      <c r="H211" s="64"/>
      <c r="I211" s="137" t="str">
        <f t="shared" si="12"/>
        <v/>
      </c>
      <c r="J211" s="137" t="str">
        <f t="shared" si="13"/>
        <v/>
      </c>
      <c r="K211" s="138" t="str">
        <f t="shared" si="14"/>
        <v/>
      </c>
      <c r="L211" s="138" t="str">
        <f t="shared" si="15"/>
        <v/>
      </c>
      <c r="M211" s="61"/>
      <c r="N211" s="61"/>
      <c r="O211" s="61"/>
      <c r="P211" s="61"/>
    </row>
    <row r="212" spans="1:16" ht="15" customHeight="1" x14ac:dyDescent="0.25">
      <c r="A212" s="61"/>
      <c r="B212" s="61"/>
      <c r="C212" s="61"/>
      <c r="D212" s="135"/>
      <c r="E212" s="64"/>
      <c r="F212" s="64"/>
      <c r="G212" s="64"/>
      <c r="H212" s="64"/>
      <c r="I212" s="137" t="str">
        <f t="shared" si="12"/>
        <v/>
      </c>
      <c r="J212" s="137" t="str">
        <f t="shared" si="13"/>
        <v/>
      </c>
      <c r="K212" s="138" t="str">
        <f t="shared" si="14"/>
        <v/>
      </c>
      <c r="L212" s="138" t="str">
        <f t="shared" si="15"/>
        <v/>
      </c>
      <c r="M212" s="61"/>
      <c r="N212" s="61"/>
      <c r="O212" s="61"/>
      <c r="P212" s="61"/>
    </row>
    <row r="213" spans="1:16" ht="15" customHeight="1" x14ac:dyDescent="0.25">
      <c r="A213" s="61"/>
      <c r="B213" s="61"/>
      <c r="C213" s="61"/>
      <c r="D213" s="135"/>
      <c r="E213" s="64"/>
      <c r="F213" s="64"/>
      <c r="G213" s="64"/>
      <c r="H213" s="64"/>
      <c r="I213" s="137" t="str">
        <f t="shared" si="12"/>
        <v/>
      </c>
      <c r="J213" s="137" t="str">
        <f t="shared" si="13"/>
        <v/>
      </c>
      <c r="K213" s="138" t="str">
        <f t="shared" si="14"/>
        <v/>
      </c>
      <c r="L213" s="138" t="str">
        <f t="shared" si="15"/>
        <v/>
      </c>
      <c r="M213" s="61"/>
      <c r="N213" s="61"/>
      <c r="O213" s="61"/>
      <c r="P213" s="61"/>
    </row>
    <row r="214" spans="1:16" ht="15" customHeight="1" x14ac:dyDescent="0.25">
      <c r="A214" s="61"/>
      <c r="B214" s="61"/>
      <c r="C214" s="61"/>
      <c r="D214" s="135"/>
      <c r="E214" s="64"/>
      <c r="F214" s="64"/>
      <c r="G214" s="64"/>
      <c r="H214" s="64"/>
      <c r="I214" s="137" t="str">
        <f t="shared" si="12"/>
        <v/>
      </c>
      <c r="J214" s="137" t="str">
        <f t="shared" si="13"/>
        <v/>
      </c>
      <c r="K214" s="138" t="str">
        <f t="shared" si="14"/>
        <v/>
      </c>
      <c r="L214" s="138" t="str">
        <f t="shared" si="15"/>
        <v/>
      </c>
      <c r="M214" s="61"/>
      <c r="N214" s="61"/>
      <c r="O214" s="61"/>
      <c r="P214" s="61"/>
    </row>
    <row r="215" spans="1:16" ht="15" customHeight="1" x14ac:dyDescent="0.25">
      <c r="A215" s="61"/>
      <c r="B215" s="61"/>
      <c r="C215" s="61"/>
      <c r="D215" s="135"/>
      <c r="E215" s="64"/>
      <c r="F215" s="64"/>
      <c r="G215" s="64"/>
      <c r="H215" s="64"/>
      <c r="I215" s="137" t="str">
        <f t="shared" si="12"/>
        <v/>
      </c>
      <c r="J215" s="137" t="str">
        <f t="shared" si="13"/>
        <v/>
      </c>
      <c r="K215" s="138" t="str">
        <f t="shared" si="14"/>
        <v/>
      </c>
      <c r="L215" s="138" t="str">
        <f t="shared" si="15"/>
        <v/>
      </c>
      <c r="M215" s="61"/>
      <c r="N215" s="61"/>
      <c r="O215" s="61"/>
      <c r="P215" s="61"/>
    </row>
    <row r="216" spans="1:16" ht="15" customHeight="1" x14ac:dyDescent="0.25">
      <c r="A216" s="61"/>
      <c r="B216" s="61"/>
      <c r="C216" s="61"/>
      <c r="D216" s="135"/>
      <c r="E216" s="64"/>
      <c r="F216" s="64"/>
      <c r="G216" s="64"/>
      <c r="H216" s="64"/>
      <c r="I216" s="137" t="str">
        <f t="shared" si="12"/>
        <v/>
      </c>
      <c r="J216" s="137" t="str">
        <f t="shared" si="13"/>
        <v/>
      </c>
      <c r="K216" s="138" t="str">
        <f t="shared" si="14"/>
        <v/>
      </c>
      <c r="L216" s="138" t="str">
        <f t="shared" si="15"/>
        <v/>
      </c>
      <c r="M216" s="61"/>
      <c r="N216" s="61"/>
      <c r="O216" s="61"/>
      <c r="P216" s="61"/>
    </row>
    <row r="217" spans="1:16" ht="15" customHeight="1" x14ac:dyDescent="0.25">
      <c r="A217" s="61"/>
      <c r="B217" s="61"/>
      <c r="C217" s="61"/>
      <c r="D217" s="135"/>
      <c r="E217" s="64"/>
      <c r="F217" s="64"/>
      <c r="G217" s="64"/>
      <c r="H217" s="64"/>
      <c r="I217" s="137" t="str">
        <f t="shared" si="12"/>
        <v/>
      </c>
      <c r="J217" s="137" t="str">
        <f t="shared" si="13"/>
        <v/>
      </c>
      <c r="K217" s="138" t="str">
        <f t="shared" si="14"/>
        <v/>
      </c>
      <c r="L217" s="138" t="str">
        <f t="shared" si="15"/>
        <v/>
      </c>
      <c r="M217" s="61"/>
      <c r="N217" s="61"/>
      <c r="O217" s="61"/>
      <c r="P217" s="61"/>
    </row>
    <row r="218" spans="1:16" ht="15" customHeight="1" x14ac:dyDescent="0.25">
      <c r="A218" s="61"/>
      <c r="B218" s="61"/>
      <c r="C218" s="61"/>
      <c r="D218" s="135"/>
      <c r="E218" s="64"/>
      <c r="F218" s="64"/>
      <c r="G218" s="64"/>
      <c r="H218" s="64"/>
      <c r="I218" s="137" t="str">
        <f t="shared" si="12"/>
        <v/>
      </c>
      <c r="J218" s="137" t="str">
        <f t="shared" si="13"/>
        <v/>
      </c>
      <c r="K218" s="138" t="str">
        <f t="shared" si="14"/>
        <v/>
      </c>
      <c r="L218" s="138" t="str">
        <f t="shared" si="15"/>
        <v/>
      </c>
      <c r="M218" s="61"/>
      <c r="N218" s="61"/>
      <c r="O218" s="61"/>
      <c r="P218" s="61"/>
    </row>
    <row r="219" spans="1:16" ht="15" customHeight="1" x14ac:dyDescent="0.25">
      <c r="A219" s="61"/>
      <c r="B219" s="61"/>
      <c r="C219" s="61"/>
      <c r="D219" s="135"/>
      <c r="E219" s="64"/>
      <c r="F219" s="64"/>
      <c r="G219" s="64"/>
      <c r="H219" s="64"/>
      <c r="I219" s="137" t="str">
        <f t="shared" si="12"/>
        <v/>
      </c>
      <c r="J219" s="137" t="str">
        <f t="shared" si="13"/>
        <v/>
      </c>
      <c r="K219" s="138" t="str">
        <f t="shared" si="14"/>
        <v/>
      </c>
      <c r="L219" s="138" t="str">
        <f t="shared" si="15"/>
        <v/>
      </c>
      <c r="M219" s="61"/>
      <c r="N219" s="61"/>
      <c r="O219" s="61"/>
      <c r="P219" s="61"/>
    </row>
    <row r="220" spans="1:16" ht="15" customHeight="1" x14ac:dyDescent="0.25">
      <c r="A220" s="61"/>
      <c r="B220" s="61"/>
      <c r="C220" s="61"/>
      <c r="D220" s="135"/>
      <c r="E220" s="64"/>
      <c r="F220" s="64"/>
      <c r="G220" s="64"/>
      <c r="H220" s="64"/>
      <c r="I220" s="137" t="str">
        <f t="shared" si="12"/>
        <v/>
      </c>
      <c r="J220" s="137" t="str">
        <f t="shared" si="13"/>
        <v/>
      </c>
      <c r="K220" s="138" t="str">
        <f t="shared" si="14"/>
        <v/>
      </c>
      <c r="L220" s="138" t="str">
        <f t="shared" si="15"/>
        <v/>
      </c>
      <c r="M220" s="61"/>
      <c r="N220" s="61"/>
      <c r="O220" s="61"/>
      <c r="P220" s="61"/>
    </row>
    <row r="221" spans="1:16" ht="15" customHeight="1" x14ac:dyDescent="0.25">
      <c r="A221" s="61"/>
      <c r="B221" s="61"/>
      <c r="C221" s="61"/>
      <c r="D221" s="135"/>
      <c r="E221" s="64"/>
      <c r="F221" s="64"/>
      <c r="G221" s="64"/>
      <c r="H221" s="64"/>
      <c r="I221" s="137" t="str">
        <f t="shared" si="12"/>
        <v/>
      </c>
      <c r="J221" s="137" t="str">
        <f t="shared" si="13"/>
        <v/>
      </c>
      <c r="K221" s="138" t="str">
        <f t="shared" si="14"/>
        <v/>
      </c>
      <c r="L221" s="138" t="str">
        <f t="shared" si="15"/>
        <v/>
      </c>
      <c r="M221" s="61"/>
      <c r="N221" s="61"/>
      <c r="O221" s="61"/>
      <c r="P221" s="61"/>
    </row>
    <row r="222" spans="1:16" ht="15" customHeight="1" x14ac:dyDescent="0.25">
      <c r="A222" s="61"/>
      <c r="B222" s="61"/>
      <c r="C222" s="61"/>
      <c r="D222" s="135"/>
      <c r="E222" s="64"/>
      <c r="F222" s="64"/>
      <c r="G222" s="64"/>
      <c r="H222" s="64"/>
      <c r="I222" s="137" t="str">
        <f t="shared" si="12"/>
        <v/>
      </c>
      <c r="J222" s="137" t="str">
        <f t="shared" si="13"/>
        <v/>
      </c>
      <c r="K222" s="138" t="str">
        <f t="shared" si="14"/>
        <v/>
      </c>
      <c r="L222" s="138" t="str">
        <f t="shared" si="15"/>
        <v/>
      </c>
      <c r="M222" s="61"/>
      <c r="N222" s="61"/>
      <c r="O222" s="61"/>
      <c r="P222" s="61"/>
    </row>
    <row r="223" spans="1:16" ht="15" customHeight="1" x14ac:dyDescent="0.25">
      <c r="A223" s="61"/>
      <c r="B223" s="61"/>
      <c r="C223" s="61"/>
      <c r="D223" s="135"/>
      <c r="E223" s="64"/>
      <c r="F223" s="64"/>
      <c r="G223" s="64"/>
      <c r="H223" s="64"/>
      <c r="I223" s="137" t="str">
        <f t="shared" si="12"/>
        <v/>
      </c>
      <c r="J223" s="137" t="str">
        <f t="shared" si="13"/>
        <v/>
      </c>
      <c r="K223" s="138" t="str">
        <f t="shared" si="14"/>
        <v/>
      </c>
      <c r="L223" s="138" t="str">
        <f t="shared" si="15"/>
        <v/>
      </c>
      <c r="M223" s="61"/>
      <c r="N223" s="61"/>
      <c r="O223" s="61"/>
      <c r="P223" s="61"/>
    </row>
    <row r="224" spans="1:16" ht="15" customHeight="1" x14ac:dyDescent="0.25">
      <c r="A224" s="61"/>
      <c r="B224" s="61"/>
      <c r="C224" s="61"/>
      <c r="D224" s="135"/>
      <c r="E224" s="64"/>
      <c r="F224" s="64"/>
      <c r="G224" s="64"/>
      <c r="H224" s="64"/>
      <c r="I224" s="137" t="str">
        <f t="shared" si="12"/>
        <v/>
      </c>
      <c r="J224" s="137" t="str">
        <f t="shared" si="13"/>
        <v/>
      </c>
      <c r="K224" s="138" t="str">
        <f t="shared" si="14"/>
        <v/>
      </c>
      <c r="L224" s="138" t="str">
        <f t="shared" si="15"/>
        <v/>
      </c>
      <c r="M224" s="61"/>
      <c r="N224" s="61"/>
      <c r="O224" s="61"/>
      <c r="P224" s="61"/>
    </row>
    <row r="225" spans="1:16" ht="15" customHeight="1" x14ac:dyDescent="0.25">
      <c r="A225" s="61"/>
      <c r="B225" s="61"/>
      <c r="C225" s="61"/>
      <c r="D225" s="135"/>
      <c r="E225" s="64"/>
      <c r="F225" s="64"/>
      <c r="G225" s="64"/>
      <c r="H225" s="64"/>
      <c r="I225" s="137" t="str">
        <f t="shared" si="12"/>
        <v/>
      </c>
      <c r="J225" s="137" t="str">
        <f t="shared" si="13"/>
        <v/>
      </c>
      <c r="K225" s="138" t="str">
        <f t="shared" si="14"/>
        <v/>
      </c>
      <c r="L225" s="138" t="str">
        <f t="shared" si="15"/>
        <v/>
      </c>
      <c r="M225" s="61"/>
      <c r="N225" s="61"/>
      <c r="O225" s="61"/>
      <c r="P225" s="61"/>
    </row>
    <row r="226" spans="1:16" ht="15" customHeight="1" x14ac:dyDescent="0.25">
      <c r="A226" s="61"/>
      <c r="B226" s="61"/>
      <c r="C226" s="61"/>
      <c r="D226" s="135"/>
      <c r="E226" s="64"/>
      <c r="F226" s="64"/>
      <c r="G226" s="64"/>
      <c r="H226" s="64"/>
      <c r="I226" s="137" t="str">
        <f t="shared" si="12"/>
        <v/>
      </c>
      <c r="J226" s="137" t="str">
        <f t="shared" si="13"/>
        <v/>
      </c>
      <c r="K226" s="138" t="str">
        <f t="shared" si="14"/>
        <v/>
      </c>
      <c r="L226" s="138" t="str">
        <f t="shared" si="15"/>
        <v/>
      </c>
      <c r="M226" s="61"/>
      <c r="N226" s="61"/>
      <c r="O226" s="61"/>
      <c r="P226" s="61"/>
    </row>
    <row r="227" spans="1:16" ht="15" customHeight="1" x14ac:dyDescent="0.25">
      <c r="A227" s="61"/>
      <c r="B227" s="61"/>
      <c r="C227" s="61"/>
      <c r="D227" s="135"/>
      <c r="E227" s="64"/>
      <c r="F227" s="64"/>
      <c r="G227" s="64"/>
      <c r="H227" s="64"/>
      <c r="I227" s="137" t="str">
        <f t="shared" si="12"/>
        <v/>
      </c>
      <c r="J227" s="137" t="str">
        <f t="shared" si="13"/>
        <v/>
      </c>
      <c r="K227" s="138" t="str">
        <f t="shared" si="14"/>
        <v/>
      </c>
      <c r="L227" s="138" t="str">
        <f t="shared" si="15"/>
        <v/>
      </c>
      <c r="M227" s="61"/>
      <c r="N227" s="61"/>
      <c r="O227" s="61"/>
      <c r="P227" s="61"/>
    </row>
    <row r="228" spans="1:16" ht="15" customHeight="1" x14ac:dyDescent="0.25">
      <c r="A228" s="61"/>
      <c r="B228" s="61"/>
      <c r="C228" s="61"/>
      <c r="D228" s="135"/>
      <c r="E228" s="64"/>
      <c r="F228" s="64"/>
      <c r="G228" s="64"/>
      <c r="H228" s="64"/>
      <c r="I228" s="137" t="str">
        <f t="shared" si="12"/>
        <v/>
      </c>
      <c r="J228" s="137" t="str">
        <f t="shared" si="13"/>
        <v/>
      </c>
      <c r="K228" s="138" t="str">
        <f t="shared" si="14"/>
        <v/>
      </c>
      <c r="L228" s="138" t="str">
        <f t="shared" si="15"/>
        <v/>
      </c>
      <c r="M228" s="61"/>
      <c r="N228" s="61"/>
      <c r="O228" s="61"/>
      <c r="P228" s="61"/>
    </row>
    <row r="229" spans="1:16" ht="15" customHeight="1" x14ac:dyDescent="0.25">
      <c r="A229" s="61"/>
      <c r="B229" s="61"/>
      <c r="C229" s="61"/>
      <c r="D229" s="135"/>
      <c r="E229" s="64"/>
      <c r="F229" s="64"/>
      <c r="G229" s="64"/>
      <c r="H229" s="64"/>
      <c r="I229" s="137" t="str">
        <f t="shared" si="12"/>
        <v/>
      </c>
      <c r="J229" s="137" t="str">
        <f t="shared" si="13"/>
        <v/>
      </c>
      <c r="K229" s="138" t="str">
        <f t="shared" si="14"/>
        <v/>
      </c>
      <c r="L229" s="138" t="str">
        <f t="shared" si="15"/>
        <v/>
      </c>
      <c r="M229" s="61"/>
      <c r="N229" s="61"/>
      <c r="O229" s="61"/>
      <c r="P229" s="61"/>
    </row>
    <row r="230" spans="1:16" ht="15" customHeight="1" x14ac:dyDescent="0.25">
      <c r="A230" s="61"/>
      <c r="B230" s="61"/>
      <c r="C230" s="61"/>
      <c r="D230" s="135"/>
      <c r="E230" s="64"/>
      <c r="F230" s="64"/>
      <c r="G230" s="64"/>
      <c r="H230" s="64"/>
      <c r="I230" s="137" t="str">
        <f t="shared" si="12"/>
        <v/>
      </c>
      <c r="J230" s="137" t="str">
        <f t="shared" si="13"/>
        <v/>
      </c>
      <c r="K230" s="138" t="str">
        <f t="shared" si="14"/>
        <v/>
      </c>
      <c r="L230" s="138" t="str">
        <f t="shared" si="15"/>
        <v/>
      </c>
      <c r="M230" s="61"/>
      <c r="N230" s="61"/>
      <c r="O230" s="61"/>
      <c r="P230" s="61"/>
    </row>
    <row r="231" spans="1:16" ht="15" customHeight="1" x14ac:dyDescent="0.25">
      <c r="A231" s="61"/>
      <c r="B231" s="61"/>
      <c r="C231" s="61"/>
      <c r="D231" s="135"/>
      <c r="E231" s="64"/>
      <c r="F231" s="64"/>
      <c r="G231" s="64"/>
      <c r="H231" s="64"/>
      <c r="I231" s="137" t="str">
        <f t="shared" si="12"/>
        <v/>
      </c>
      <c r="J231" s="137" t="str">
        <f t="shared" si="13"/>
        <v/>
      </c>
      <c r="K231" s="138" t="str">
        <f t="shared" si="14"/>
        <v/>
      </c>
      <c r="L231" s="138" t="str">
        <f t="shared" si="15"/>
        <v/>
      </c>
      <c r="M231" s="61"/>
      <c r="N231" s="61"/>
      <c r="O231" s="61"/>
      <c r="P231" s="61"/>
    </row>
    <row r="232" spans="1:16" ht="15" customHeight="1" x14ac:dyDescent="0.25">
      <c r="A232" s="61"/>
      <c r="B232" s="61"/>
      <c r="C232" s="61"/>
      <c r="D232" s="135"/>
      <c r="E232" s="64"/>
      <c r="F232" s="64"/>
      <c r="G232" s="64"/>
      <c r="H232" s="64"/>
      <c r="I232" s="137" t="str">
        <f t="shared" si="12"/>
        <v/>
      </c>
      <c r="J232" s="137" t="str">
        <f t="shared" si="13"/>
        <v/>
      </c>
      <c r="K232" s="138" t="str">
        <f t="shared" si="14"/>
        <v/>
      </c>
      <c r="L232" s="138" t="str">
        <f t="shared" si="15"/>
        <v/>
      </c>
      <c r="M232" s="61"/>
      <c r="N232" s="61"/>
      <c r="O232" s="61"/>
      <c r="P232" s="61"/>
    </row>
    <row r="233" spans="1:16" ht="15" customHeight="1" x14ac:dyDescent="0.25">
      <c r="A233" s="61"/>
      <c r="B233" s="61"/>
      <c r="C233" s="61"/>
      <c r="D233" s="135"/>
      <c r="E233" s="64"/>
      <c r="F233" s="64"/>
      <c r="G233" s="64"/>
      <c r="H233" s="64"/>
      <c r="I233" s="137" t="str">
        <f t="shared" si="12"/>
        <v/>
      </c>
      <c r="J233" s="137" t="str">
        <f t="shared" si="13"/>
        <v/>
      </c>
      <c r="K233" s="138" t="str">
        <f t="shared" si="14"/>
        <v/>
      </c>
      <c r="L233" s="138" t="str">
        <f t="shared" si="15"/>
        <v/>
      </c>
      <c r="M233" s="61"/>
      <c r="N233" s="61"/>
      <c r="O233" s="61"/>
      <c r="P233" s="61"/>
    </row>
    <row r="234" spans="1:16" ht="15" customHeight="1" x14ac:dyDescent="0.25">
      <c r="A234" s="61"/>
      <c r="B234" s="61"/>
      <c r="C234" s="61"/>
      <c r="D234" s="135"/>
      <c r="E234" s="64"/>
      <c r="F234" s="64"/>
      <c r="G234" s="64"/>
      <c r="H234" s="64"/>
      <c r="I234" s="137" t="str">
        <f t="shared" si="12"/>
        <v/>
      </c>
      <c r="J234" s="137" t="str">
        <f t="shared" si="13"/>
        <v/>
      </c>
      <c r="K234" s="138" t="str">
        <f t="shared" si="14"/>
        <v/>
      </c>
      <c r="L234" s="138" t="str">
        <f t="shared" si="15"/>
        <v/>
      </c>
      <c r="M234" s="61"/>
      <c r="N234" s="61"/>
      <c r="O234" s="61"/>
      <c r="P234" s="61"/>
    </row>
    <row r="235" spans="1:16" ht="15" customHeight="1" x14ac:dyDescent="0.25">
      <c r="A235" s="61"/>
      <c r="B235" s="61"/>
      <c r="C235" s="61"/>
      <c r="D235" s="135"/>
      <c r="E235" s="64"/>
      <c r="F235" s="64"/>
      <c r="G235" s="64"/>
      <c r="H235" s="64"/>
      <c r="I235" s="137" t="str">
        <f t="shared" si="12"/>
        <v/>
      </c>
      <c r="J235" s="137" t="str">
        <f t="shared" si="13"/>
        <v/>
      </c>
      <c r="K235" s="138" t="str">
        <f t="shared" si="14"/>
        <v/>
      </c>
      <c r="L235" s="138" t="str">
        <f t="shared" si="15"/>
        <v/>
      </c>
      <c r="M235" s="61"/>
      <c r="N235" s="61"/>
      <c r="O235" s="61"/>
      <c r="P235" s="61"/>
    </row>
    <row r="236" spans="1:16" ht="15" customHeight="1" x14ac:dyDescent="0.25">
      <c r="A236" s="61"/>
      <c r="B236" s="61"/>
      <c r="C236" s="61"/>
      <c r="D236" s="135"/>
      <c r="E236" s="64"/>
      <c r="F236" s="64"/>
      <c r="G236" s="64"/>
      <c r="H236" s="64"/>
      <c r="I236" s="137" t="str">
        <f t="shared" si="12"/>
        <v/>
      </c>
      <c r="J236" s="137" t="str">
        <f t="shared" si="13"/>
        <v/>
      </c>
      <c r="K236" s="138" t="str">
        <f t="shared" si="14"/>
        <v/>
      </c>
      <c r="L236" s="138" t="str">
        <f t="shared" si="15"/>
        <v/>
      </c>
      <c r="M236" s="61"/>
      <c r="N236" s="61"/>
      <c r="O236" s="61"/>
      <c r="P236" s="61"/>
    </row>
    <row r="237" spans="1:16" ht="15" customHeight="1" x14ac:dyDescent="0.25">
      <c r="A237" s="61"/>
      <c r="B237" s="61"/>
      <c r="C237" s="61"/>
      <c r="D237" s="135"/>
      <c r="E237" s="64"/>
      <c r="F237" s="64"/>
      <c r="G237" s="64"/>
      <c r="H237" s="64"/>
      <c r="I237" s="137" t="str">
        <f t="shared" si="12"/>
        <v/>
      </c>
      <c r="J237" s="137" t="str">
        <f t="shared" si="13"/>
        <v/>
      </c>
      <c r="K237" s="138" t="str">
        <f t="shared" si="14"/>
        <v/>
      </c>
      <c r="L237" s="138" t="str">
        <f t="shared" si="15"/>
        <v/>
      </c>
      <c r="M237" s="61"/>
      <c r="N237" s="61"/>
      <c r="O237" s="61"/>
      <c r="P237" s="61"/>
    </row>
    <row r="238" spans="1:16" ht="15" customHeight="1" x14ac:dyDescent="0.25">
      <c r="A238" s="61"/>
      <c r="B238" s="61"/>
      <c r="C238" s="61"/>
      <c r="D238" s="135"/>
      <c r="E238" s="64"/>
      <c r="F238" s="64"/>
      <c r="G238" s="64"/>
      <c r="H238" s="64"/>
      <c r="I238" s="137" t="str">
        <f t="shared" si="12"/>
        <v/>
      </c>
      <c r="J238" s="137" t="str">
        <f t="shared" si="13"/>
        <v/>
      </c>
      <c r="K238" s="138" t="str">
        <f t="shared" si="14"/>
        <v/>
      </c>
      <c r="L238" s="138" t="str">
        <f t="shared" si="15"/>
        <v/>
      </c>
      <c r="M238" s="61"/>
      <c r="N238" s="61"/>
      <c r="O238" s="61"/>
      <c r="P238" s="61"/>
    </row>
    <row r="239" spans="1:16" ht="15" customHeight="1" x14ac:dyDescent="0.25">
      <c r="A239" s="61"/>
      <c r="B239" s="61"/>
      <c r="C239" s="61"/>
      <c r="D239" s="135"/>
      <c r="E239" s="64"/>
      <c r="F239" s="64"/>
      <c r="G239" s="64"/>
      <c r="H239" s="64"/>
      <c r="I239" s="137" t="str">
        <f t="shared" si="12"/>
        <v/>
      </c>
      <c r="J239" s="137" t="str">
        <f t="shared" si="13"/>
        <v/>
      </c>
      <c r="K239" s="138" t="str">
        <f t="shared" si="14"/>
        <v/>
      </c>
      <c r="L239" s="138" t="str">
        <f t="shared" si="15"/>
        <v/>
      </c>
      <c r="M239" s="61"/>
      <c r="N239" s="61"/>
      <c r="O239" s="61"/>
      <c r="P239" s="61"/>
    </row>
    <row r="240" spans="1:16" ht="15" customHeight="1" x14ac:dyDescent="0.25">
      <c r="A240" s="61"/>
      <c r="B240" s="61"/>
      <c r="C240" s="61"/>
      <c r="D240" s="135"/>
      <c r="E240" s="64"/>
      <c r="F240" s="64"/>
      <c r="G240" s="64"/>
      <c r="H240" s="64"/>
      <c r="I240" s="137" t="str">
        <f t="shared" si="12"/>
        <v/>
      </c>
      <c r="J240" s="137" t="str">
        <f t="shared" si="13"/>
        <v/>
      </c>
      <c r="K240" s="138" t="str">
        <f t="shared" si="14"/>
        <v/>
      </c>
      <c r="L240" s="138" t="str">
        <f t="shared" si="15"/>
        <v/>
      </c>
      <c r="M240" s="61"/>
      <c r="N240" s="61"/>
      <c r="O240" s="61"/>
      <c r="P240" s="61"/>
    </row>
    <row r="241" spans="1:16" ht="15" customHeight="1" x14ac:dyDescent="0.25">
      <c r="A241" s="61"/>
      <c r="B241" s="61"/>
      <c r="C241" s="61"/>
      <c r="D241" s="135"/>
      <c r="E241" s="64"/>
      <c r="F241" s="64"/>
      <c r="G241" s="64"/>
      <c r="H241" s="64"/>
      <c r="I241" s="137" t="str">
        <f t="shared" si="12"/>
        <v/>
      </c>
      <c r="J241" s="137" t="str">
        <f t="shared" si="13"/>
        <v/>
      </c>
      <c r="K241" s="138" t="str">
        <f t="shared" si="14"/>
        <v/>
      </c>
      <c r="L241" s="138" t="str">
        <f t="shared" si="15"/>
        <v/>
      </c>
      <c r="M241" s="61"/>
      <c r="N241" s="61"/>
      <c r="O241" s="61"/>
      <c r="P241" s="61"/>
    </row>
    <row r="242" spans="1:16" ht="15" customHeight="1" x14ac:dyDescent="0.25">
      <c r="A242" s="61"/>
      <c r="B242" s="61"/>
      <c r="C242" s="61"/>
      <c r="D242" s="135"/>
      <c r="E242" s="64"/>
      <c r="F242" s="64"/>
      <c r="G242" s="64"/>
      <c r="H242" s="64"/>
      <c r="I242" s="137" t="str">
        <f t="shared" si="12"/>
        <v/>
      </c>
      <c r="J242" s="137" t="str">
        <f t="shared" si="13"/>
        <v/>
      </c>
      <c r="K242" s="138" t="str">
        <f t="shared" si="14"/>
        <v/>
      </c>
      <c r="L242" s="138" t="str">
        <f t="shared" si="15"/>
        <v/>
      </c>
      <c r="M242" s="61"/>
      <c r="N242" s="61"/>
      <c r="O242" s="61"/>
      <c r="P242" s="61"/>
    </row>
    <row r="243" spans="1:16" ht="15" customHeight="1" x14ac:dyDescent="0.25">
      <c r="A243" s="61"/>
      <c r="B243" s="61"/>
      <c r="C243" s="61"/>
      <c r="D243" s="135"/>
      <c r="E243" s="64"/>
      <c r="F243" s="64"/>
      <c r="G243" s="64"/>
      <c r="H243" s="64"/>
      <c r="I243" s="137" t="str">
        <f t="shared" si="12"/>
        <v/>
      </c>
      <c r="J243" s="137" t="str">
        <f t="shared" si="13"/>
        <v/>
      </c>
      <c r="K243" s="138" t="str">
        <f t="shared" si="14"/>
        <v/>
      </c>
      <c r="L243" s="138" t="str">
        <f t="shared" si="15"/>
        <v/>
      </c>
      <c r="M243" s="61"/>
      <c r="N243" s="61"/>
      <c r="O243" s="61"/>
      <c r="P243" s="61"/>
    </row>
    <row r="244" spans="1:16" ht="15" customHeight="1" x14ac:dyDescent="0.25">
      <c r="A244" s="61"/>
      <c r="B244" s="61"/>
      <c r="C244" s="61"/>
      <c r="D244" s="135"/>
      <c r="E244" s="64"/>
      <c r="F244" s="64"/>
      <c r="G244" s="64"/>
      <c r="H244" s="64"/>
      <c r="I244" s="137" t="str">
        <f t="shared" si="12"/>
        <v/>
      </c>
      <c r="J244" s="137" t="str">
        <f t="shared" si="13"/>
        <v/>
      </c>
      <c r="K244" s="138" t="str">
        <f t="shared" si="14"/>
        <v/>
      </c>
      <c r="L244" s="138" t="str">
        <f t="shared" si="15"/>
        <v/>
      </c>
      <c r="M244" s="61"/>
      <c r="N244" s="61"/>
      <c r="O244" s="61"/>
      <c r="P244" s="61"/>
    </row>
    <row r="245" spans="1:16" ht="15" customHeight="1" x14ac:dyDescent="0.25">
      <c r="A245" s="61"/>
      <c r="B245" s="61"/>
      <c r="C245" s="61"/>
      <c r="D245" s="135"/>
      <c r="E245" s="64"/>
      <c r="F245" s="64"/>
      <c r="G245" s="64"/>
      <c r="H245" s="64"/>
      <c r="I245" s="137" t="str">
        <f t="shared" si="12"/>
        <v/>
      </c>
      <c r="J245" s="137" t="str">
        <f t="shared" si="13"/>
        <v/>
      </c>
      <c r="K245" s="138" t="str">
        <f t="shared" si="14"/>
        <v/>
      </c>
      <c r="L245" s="138" t="str">
        <f t="shared" si="15"/>
        <v/>
      </c>
      <c r="M245" s="61"/>
      <c r="N245" s="61"/>
      <c r="O245" s="61"/>
      <c r="P245" s="61"/>
    </row>
    <row r="246" spans="1:16" ht="15" customHeight="1" x14ac:dyDescent="0.25">
      <c r="A246" s="61"/>
      <c r="B246" s="61"/>
      <c r="C246" s="61"/>
      <c r="D246" s="135"/>
      <c r="E246" s="64"/>
      <c r="F246" s="64"/>
      <c r="G246" s="64"/>
      <c r="H246" s="64"/>
      <c r="I246" s="137" t="str">
        <f t="shared" si="12"/>
        <v/>
      </c>
      <c r="J246" s="137" t="str">
        <f t="shared" si="13"/>
        <v/>
      </c>
      <c r="K246" s="138" t="str">
        <f t="shared" si="14"/>
        <v/>
      </c>
      <c r="L246" s="138" t="str">
        <f t="shared" si="15"/>
        <v/>
      </c>
      <c r="M246" s="61"/>
      <c r="N246" s="61"/>
      <c r="O246" s="61"/>
      <c r="P246" s="61"/>
    </row>
    <row r="247" spans="1:16" ht="15" customHeight="1" x14ac:dyDescent="0.25">
      <c r="A247" s="61"/>
      <c r="B247" s="61"/>
      <c r="C247" s="61"/>
      <c r="D247" s="135"/>
      <c r="E247" s="64"/>
      <c r="F247" s="64"/>
      <c r="G247" s="64"/>
      <c r="H247" s="64"/>
      <c r="I247" s="137" t="str">
        <f t="shared" si="12"/>
        <v/>
      </c>
      <c r="J247" s="137" t="str">
        <f t="shared" si="13"/>
        <v/>
      </c>
      <c r="K247" s="138" t="str">
        <f t="shared" si="14"/>
        <v/>
      </c>
      <c r="L247" s="138" t="str">
        <f t="shared" si="15"/>
        <v/>
      </c>
      <c r="M247" s="61"/>
      <c r="N247" s="61"/>
      <c r="O247" s="61"/>
      <c r="P247" s="61"/>
    </row>
    <row r="248" spans="1:16" ht="15" customHeight="1" x14ac:dyDescent="0.25">
      <c r="A248" s="61"/>
      <c r="B248" s="61"/>
      <c r="C248" s="61"/>
      <c r="D248" s="135"/>
      <c r="E248" s="64"/>
      <c r="F248" s="64"/>
      <c r="G248" s="64"/>
      <c r="H248" s="64"/>
      <c r="I248" s="137" t="str">
        <f t="shared" si="12"/>
        <v/>
      </c>
      <c r="J248" s="137" t="str">
        <f t="shared" si="13"/>
        <v/>
      </c>
      <c r="K248" s="138" t="str">
        <f t="shared" si="14"/>
        <v/>
      </c>
      <c r="L248" s="138" t="str">
        <f t="shared" si="15"/>
        <v/>
      </c>
      <c r="M248" s="61"/>
      <c r="N248" s="61"/>
      <c r="O248" s="61"/>
      <c r="P248" s="61"/>
    </row>
    <row r="249" spans="1:16" ht="15" customHeight="1" x14ac:dyDescent="0.25">
      <c r="A249" s="61"/>
      <c r="B249" s="61"/>
      <c r="C249" s="61"/>
      <c r="D249" s="135"/>
      <c r="E249" s="64"/>
      <c r="F249" s="64"/>
      <c r="G249" s="64"/>
      <c r="H249" s="64"/>
      <c r="I249" s="137" t="str">
        <f t="shared" si="12"/>
        <v/>
      </c>
      <c r="J249" s="137" t="str">
        <f t="shared" si="13"/>
        <v/>
      </c>
      <c r="K249" s="138" t="str">
        <f t="shared" si="14"/>
        <v/>
      </c>
      <c r="L249" s="138" t="str">
        <f t="shared" si="15"/>
        <v/>
      </c>
      <c r="M249" s="61"/>
      <c r="N249" s="61"/>
      <c r="O249" s="61"/>
      <c r="P249" s="61"/>
    </row>
    <row r="250" spans="1:16" ht="15" customHeight="1" x14ac:dyDescent="0.25">
      <c r="A250" s="61"/>
      <c r="B250" s="61"/>
      <c r="C250" s="61"/>
      <c r="D250" s="135"/>
      <c r="E250" s="64"/>
      <c r="F250" s="64"/>
      <c r="G250" s="64"/>
      <c r="H250" s="64"/>
      <c r="I250" s="137" t="str">
        <f t="shared" si="12"/>
        <v/>
      </c>
      <c r="J250" s="137" t="str">
        <f t="shared" si="13"/>
        <v/>
      </c>
      <c r="K250" s="138" t="str">
        <f t="shared" si="14"/>
        <v/>
      </c>
      <c r="L250" s="138" t="str">
        <f t="shared" si="15"/>
        <v/>
      </c>
      <c r="M250" s="61"/>
      <c r="N250" s="61"/>
      <c r="O250" s="61"/>
      <c r="P250" s="61"/>
    </row>
    <row r="251" spans="1:16" ht="15" customHeight="1" x14ac:dyDescent="0.25">
      <c r="A251" s="61"/>
      <c r="B251" s="61"/>
      <c r="C251" s="61"/>
      <c r="D251" s="135"/>
      <c r="E251" s="64"/>
      <c r="F251" s="64"/>
      <c r="G251" s="64"/>
      <c r="H251" s="64"/>
      <c r="I251" s="137" t="str">
        <f t="shared" si="12"/>
        <v/>
      </c>
      <c r="J251" s="137" t="str">
        <f t="shared" si="13"/>
        <v/>
      </c>
      <c r="K251" s="138" t="str">
        <f t="shared" si="14"/>
        <v/>
      </c>
      <c r="L251" s="138" t="str">
        <f t="shared" si="15"/>
        <v/>
      </c>
      <c r="M251" s="61"/>
      <c r="N251" s="61"/>
      <c r="O251" s="61"/>
      <c r="P251" s="61"/>
    </row>
    <row r="252" spans="1:16" ht="15" customHeight="1" x14ac:dyDescent="0.25">
      <c r="A252" s="61"/>
      <c r="B252" s="61"/>
      <c r="C252" s="61"/>
      <c r="D252" s="135"/>
      <c r="E252" s="64"/>
      <c r="F252" s="64"/>
      <c r="G252" s="64"/>
      <c r="H252" s="64"/>
      <c r="I252" s="137" t="str">
        <f t="shared" si="12"/>
        <v/>
      </c>
      <c r="J252" s="137" t="str">
        <f t="shared" si="13"/>
        <v/>
      </c>
      <c r="K252" s="138" t="str">
        <f t="shared" si="14"/>
        <v/>
      </c>
      <c r="L252" s="138" t="str">
        <f t="shared" si="15"/>
        <v/>
      </c>
      <c r="M252" s="61"/>
      <c r="N252" s="61"/>
      <c r="O252" s="61"/>
      <c r="P252" s="61"/>
    </row>
    <row r="253" spans="1:16" ht="15" customHeight="1" x14ac:dyDescent="0.25">
      <c r="A253" s="61"/>
      <c r="B253" s="61"/>
      <c r="C253" s="61"/>
      <c r="D253" s="135"/>
      <c r="E253" s="64"/>
      <c r="F253" s="64"/>
      <c r="G253" s="64"/>
      <c r="H253" s="64"/>
      <c r="I253" s="137" t="str">
        <f t="shared" si="12"/>
        <v/>
      </c>
      <c r="J253" s="137" t="str">
        <f t="shared" si="13"/>
        <v/>
      </c>
      <c r="K253" s="138" t="str">
        <f t="shared" si="14"/>
        <v/>
      </c>
      <c r="L253" s="138" t="str">
        <f t="shared" si="15"/>
        <v/>
      </c>
      <c r="M253" s="61"/>
      <c r="N253" s="61"/>
      <c r="O253" s="61"/>
      <c r="P253" s="61"/>
    </row>
    <row r="254" spans="1:16" ht="15" customHeight="1" x14ac:dyDescent="0.25">
      <c r="A254" s="61"/>
      <c r="B254" s="61"/>
      <c r="C254" s="61"/>
      <c r="D254" s="135"/>
      <c r="E254" s="64"/>
      <c r="F254" s="64"/>
      <c r="G254" s="64"/>
      <c r="H254" s="64"/>
      <c r="I254" s="137" t="str">
        <f t="shared" si="12"/>
        <v/>
      </c>
      <c r="J254" s="137" t="str">
        <f t="shared" si="13"/>
        <v/>
      </c>
      <c r="K254" s="138" t="str">
        <f t="shared" si="14"/>
        <v/>
      </c>
      <c r="L254" s="138" t="str">
        <f t="shared" si="15"/>
        <v/>
      </c>
      <c r="M254" s="61"/>
      <c r="N254" s="61"/>
      <c r="O254" s="61"/>
      <c r="P254" s="61"/>
    </row>
    <row r="255" spans="1:16" ht="15" customHeight="1" x14ac:dyDescent="0.25">
      <c r="A255" s="61"/>
      <c r="B255" s="61"/>
      <c r="C255" s="61"/>
      <c r="D255" s="135"/>
      <c r="E255" s="64"/>
      <c r="F255" s="64"/>
      <c r="G255" s="64"/>
      <c r="H255" s="64"/>
      <c r="I255" s="137" t="str">
        <f t="shared" si="12"/>
        <v/>
      </c>
      <c r="J255" s="137" t="str">
        <f t="shared" si="13"/>
        <v/>
      </c>
      <c r="K255" s="138" t="str">
        <f t="shared" si="14"/>
        <v/>
      </c>
      <c r="L255" s="138" t="str">
        <f t="shared" si="15"/>
        <v/>
      </c>
      <c r="M255" s="61"/>
      <c r="N255" s="61"/>
      <c r="O255" s="61"/>
      <c r="P255" s="61"/>
    </row>
    <row r="256" spans="1:16" ht="15" customHeight="1" x14ac:dyDescent="0.25">
      <c r="A256" s="61"/>
      <c r="B256" s="61"/>
      <c r="C256" s="61"/>
      <c r="D256" s="135"/>
      <c r="E256" s="64"/>
      <c r="F256" s="64"/>
      <c r="G256" s="64"/>
      <c r="H256" s="64"/>
      <c r="I256" s="137" t="str">
        <f t="shared" si="12"/>
        <v/>
      </c>
      <c r="J256" s="137" t="str">
        <f t="shared" si="13"/>
        <v/>
      </c>
      <c r="K256" s="138" t="str">
        <f t="shared" si="14"/>
        <v/>
      </c>
      <c r="L256" s="138" t="str">
        <f t="shared" si="15"/>
        <v/>
      </c>
      <c r="M256" s="61"/>
      <c r="N256" s="61"/>
      <c r="O256" s="61"/>
      <c r="P256" s="61"/>
    </row>
    <row r="257" spans="1:16" ht="15" customHeight="1" x14ac:dyDescent="0.25">
      <c r="A257" s="61"/>
      <c r="B257" s="61"/>
      <c r="C257" s="61"/>
      <c r="D257" s="135"/>
      <c r="E257" s="64"/>
      <c r="F257" s="64"/>
      <c r="G257" s="64"/>
      <c r="H257" s="64"/>
      <c r="I257" s="137" t="str">
        <f t="shared" si="12"/>
        <v/>
      </c>
      <c r="J257" s="137" t="str">
        <f t="shared" si="13"/>
        <v/>
      </c>
      <c r="K257" s="138" t="str">
        <f t="shared" si="14"/>
        <v/>
      </c>
      <c r="L257" s="138" t="str">
        <f t="shared" si="15"/>
        <v/>
      </c>
      <c r="M257" s="61"/>
      <c r="N257" s="61"/>
      <c r="O257" s="61"/>
      <c r="P257" s="61"/>
    </row>
    <row r="258" spans="1:16" ht="15" customHeight="1" x14ac:dyDescent="0.25">
      <c r="A258" s="61"/>
      <c r="B258" s="61"/>
      <c r="C258" s="61"/>
      <c r="D258" s="135"/>
      <c r="E258" s="64"/>
      <c r="F258" s="64"/>
      <c r="G258" s="64"/>
      <c r="H258" s="64"/>
      <c r="I258" s="137" t="str">
        <f t="shared" si="12"/>
        <v/>
      </c>
      <c r="J258" s="137" t="str">
        <f t="shared" si="13"/>
        <v/>
      </c>
      <c r="K258" s="138" t="str">
        <f t="shared" si="14"/>
        <v/>
      </c>
      <c r="L258" s="138" t="str">
        <f t="shared" si="15"/>
        <v/>
      </c>
      <c r="M258" s="61"/>
      <c r="N258" s="61"/>
      <c r="O258" s="61"/>
      <c r="P258" s="61"/>
    </row>
    <row r="259" spans="1:16" ht="15" customHeight="1" x14ac:dyDescent="0.25">
      <c r="A259" s="61"/>
      <c r="B259" s="61"/>
      <c r="C259" s="61"/>
      <c r="D259" s="135"/>
      <c r="E259" s="64"/>
      <c r="F259" s="64"/>
      <c r="G259" s="64"/>
      <c r="H259" s="64"/>
      <c r="I259" s="137" t="str">
        <f t="shared" ref="I259:I322" si="16">IFERROR(IF(E259="","",E259*F259*H259/1000000),"")</f>
        <v/>
      </c>
      <c r="J259" s="137" t="str">
        <f t="shared" ref="J259:J322" si="17">IFERROR(IF(E259="","",(E259+F259)*H259/1000),"")</f>
        <v/>
      </c>
      <c r="K259" s="138" t="str">
        <f t="shared" ref="K259:K322" si="18">IFERROR(IF(D259="","",VLOOKUP(D259,Materials_Table,6,FALSE())),"")</f>
        <v/>
      </c>
      <c r="L259" s="138" t="str">
        <f t="shared" ref="L259:L322" si="19">IFERROR(IF(OR(I259="",K259=""),"",I259*K259),"")</f>
        <v/>
      </c>
      <c r="M259" s="61"/>
      <c r="N259" s="61"/>
      <c r="O259" s="61"/>
      <c r="P259" s="61"/>
    </row>
    <row r="260" spans="1:16" ht="15" customHeight="1" x14ac:dyDescent="0.25">
      <c r="A260" s="61"/>
      <c r="B260" s="61"/>
      <c r="C260" s="61"/>
      <c r="D260" s="135"/>
      <c r="E260" s="64"/>
      <c r="F260" s="64"/>
      <c r="G260" s="64"/>
      <c r="H260" s="64"/>
      <c r="I260" s="137" t="str">
        <f t="shared" si="16"/>
        <v/>
      </c>
      <c r="J260" s="137" t="str">
        <f t="shared" si="17"/>
        <v/>
      </c>
      <c r="K260" s="138" t="str">
        <f t="shared" si="18"/>
        <v/>
      </c>
      <c r="L260" s="138" t="str">
        <f t="shared" si="19"/>
        <v/>
      </c>
      <c r="M260" s="61"/>
      <c r="N260" s="61"/>
      <c r="O260" s="61"/>
      <c r="P260" s="61"/>
    </row>
    <row r="261" spans="1:16" ht="15" customHeight="1" x14ac:dyDescent="0.25">
      <c r="A261" s="61"/>
      <c r="B261" s="61"/>
      <c r="C261" s="61"/>
      <c r="D261" s="135"/>
      <c r="E261" s="64"/>
      <c r="F261" s="64"/>
      <c r="G261" s="64"/>
      <c r="H261" s="64"/>
      <c r="I261" s="137" t="str">
        <f t="shared" si="16"/>
        <v/>
      </c>
      <c r="J261" s="137" t="str">
        <f t="shared" si="17"/>
        <v/>
      </c>
      <c r="K261" s="138" t="str">
        <f t="shared" si="18"/>
        <v/>
      </c>
      <c r="L261" s="138" t="str">
        <f t="shared" si="19"/>
        <v/>
      </c>
      <c r="M261" s="61"/>
      <c r="N261" s="61"/>
      <c r="O261" s="61"/>
      <c r="P261" s="61"/>
    </row>
    <row r="262" spans="1:16" ht="15" customHeight="1" x14ac:dyDescent="0.25">
      <c r="A262" s="61"/>
      <c r="B262" s="61"/>
      <c r="C262" s="61"/>
      <c r="D262" s="135"/>
      <c r="E262" s="64"/>
      <c r="F262" s="64"/>
      <c r="G262" s="64"/>
      <c r="H262" s="64"/>
      <c r="I262" s="137" t="str">
        <f t="shared" si="16"/>
        <v/>
      </c>
      <c r="J262" s="137" t="str">
        <f t="shared" si="17"/>
        <v/>
      </c>
      <c r="K262" s="138" t="str">
        <f t="shared" si="18"/>
        <v/>
      </c>
      <c r="L262" s="138" t="str">
        <f t="shared" si="19"/>
        <v/>
      </c>
      <c r="M262" s="61"/>
      <c r="N262" s="61"/>
      <c r="O262" s="61"/>
      <c r="P262" s="61"/>
    </row>
    <row r="263" spans="1:16" ht="15" customHeight="1" x14ac:dyDescent="0.25">
      <c r="A263" s="61"/>
      <c r="B263" s="61"/>
      <c r="C263" s="61"/>
      <c r="D263" s="135"/>
      <c r="E263" s="64"/>
      <c r="F263" s="64"/>
      <c r="G263" s="64"/>
      <c r="H263" s="64"/>
      <c r="I263" s="137" t="str">
        <f t="shared" si="16"/>
        <v/>
      </c>
      <c r="J263" s="137" t="str">
        <f t="shared" si="17"/>
        <v/>
      </c>
      <c r="K263" s="138" t="str">
        <f t="shared" si="18"/>
        <v/>
      </c>
      <c r="L263" s="138" t="str">
        <f t="shared" si="19"/>
        <v/>
      </c>
      <c r="M263" s="61"/>
      <c r="N263" s="61"/>
      <c r="O263" s="61"/>
      <c r="P263" s="61"/>
    </row>
    <row r="264" spans="1:16" ht="15" customHeight="1" x14ac:dyDescent="0.25">
      <c r="A264" s="61"/>
      <c r="B264" s="61"/>
      <c r="C264" s="61"/>
      <c r="D264" s="135"/>
      <c r="E264" s="64"/>
      <c r="F264" s="64"/>
      <c r="G264" s="64"/>
      <c r="H264" s="64"/>
      <c r="I264" s="137" t="str">
        <f t="shared" si="16"/>
        <v/>
      </c>
      <c r="J264" s="137" t="str">
        <f t="shared" si="17"/>
        <v/>
      </c>
      <c r="K264" s="138" t="str">
        <f t="shared" si="18"/>
        <v/>
      </c>
      <c r="L264" s="138" t="str">
        <f t="shared" si="19"/>
        <v/>
      </c>
      <c r="M264" s="61"/>
      <c r="N264" s="61"/>
      <c r="O264" s="61"/>
      <c r="P264" s="61"/>
    </row>
    <row r="265" spans="1:16" ht="15" customHeight="1" x14ac:dyDescent="0.25">
      <c r="A265" s="61"/>
      <c r="B265" s="61"/>
      <c r="C265" s="61"/>
      <c r="D265" s="135"/>
      <c r="E265" s="64"/>
      <c r="F265" s="64"/>
      <c r="G265" s="64"/>
      <c r="H265" s="64"/>
      <c r="I265" s="137" t="str">
        <f t="shared" si="16"/>
        <v/>
      </c>
      <c r="J265" s="137" t="str">
        <f t="shared" si="17"/>
        <v/>
      </c>
      <c r="K265" s="138" t="str">
        <f t="shared" si="18"/>
        <v/>
      </c>
      <c r="L265" s="138" t="str">
        <f t="shared" si="19"/>
        <v/>
      </c>
      <c r="M265" s="61"/>
      <c r="N265" s="61"/>
      <c r="O265" s="61"/>
      <c r="P265" s="61"/>
    </row>
    <row r="266" spans="1:16" ht="15" customHeight="1" x14ac:dyDescent="0.25">
      <c r="A266" s="61"/>
      <c r="B266" s="61"/>
      <c r="C266" s="61"/>
      <c r="D266" s="135"/>
      <c r="E266" s="64"/>
      <c r="F266" s="64"/>
      <c r="G266" s="64"/>
      <c r="H266" s="64"/>
      <c r="I266" s="137" t="str">
        <f t="shared" si="16"/>
        <v/>
      </c>
      <c r="J266" s="137" t="str">
        <f t="shared" si="17"/>
        <v/>
      </c>
      <c r="K266" s="138" t="str">
        <f t="shared" si="18"/>
        <v/>
      </c>
      <c r="L266" s="138" t="str">
        <f t="shared" si="19"/>
        <v/>
      </c>
      <c r="M266" s="61"/>
      <c r="N266" s="61"/>
      <c r="O266" s="61"/>
      <c r="P266" s="61"/>
    </row>
    <row r="267" spans="1:16" ht="15" customHeight="1" x14ac:dyDescent="0.25">
      <c r="A267" s="61"/>
      <c r="B267" s="61"/>
      <c r="C267" s="61"/>
      <c r="D267" s="135"/>
      <c r="E267" s="64"/>
      <c r="F267" s="64"/>
      <c r="G267" s="64"/>
      <c r="H267" s="64"/>
      <c r="I267" s="137" t="str">
        <f t="shared" si="16"/>
        <v/>
      </c>
      <c r="J267" s="137" t="str">
        <f t="shared" si="17"/>
        <v/>
      </c>
      <c r="K267" s="138" t="str">
        <f t="shared" si="18"/>
        <v/>
      </c>
      <c r="L267" s="138" t="str">
        <f t="shared" si="19"/>
        <v/>
      </c>
      <c r="M267" s="61"/>
      <c r="N267" s="61"/>
      <c r="O267" s="61"/>
      <c r="P267" s="61"/>
    </row>
    <row r="268" spans="1:16" ht="15" customHeight="1" x14ac:dyDescent="0.25">
      <c r="A268" s="61"/>
      <c r="B268" s="61"/>
      <c r="C268" s="61"/>
      <c r="D268" s="135"/>
      <c r="E268" s="64"/>
      <c r="F268" s="64"/>
      <c r="G268" s="64"/>
      <c r="H268" s="64"/>
      <c r="I268" s="137" t="str">
        <f t="shared" si="16"/>
        <v/>
      </c>
      <c r="J268" s="137" t="str">
        <f t="shared" si="17"/>
        <v/>
      </c>
      <c r="K268" s="138" t="str">
        <f t="shared" si="18"/>
        <v/>
      </c>
      <c r="L268" s="138" t="str">
        <f t="shared" si="19"/>
        <v/>
      </c>
      <c r="M268" s="61"/>
      <c r="N268" s="61"/>
      <c r="O268" s="61"/>
      <c r="P268" s="61"/>
    </row>
    <row r="269" spans="1:16" ht="15" customHeight="1" x14ac:dyDescent="0.25">
      <c r="A269" s="61"/>
      <c r="B269" s="61"/>
      <c r="C269" s="61"/>
      <c r="D269" s="135"/>
      <c r="E269" s="64"/>
      <c r="F269" s="64"/>
      <c r="G269" s="64"/>
      <c r="H269" s="64"/>
      <c r="I269" s="137" t="str">
        <f t="shared" si="16"/>
        <v/>
      </c>
      <c r="J269" s="137" t="str">
        <f t="shared" si="17"/>
        <v/>
      </c>
      <c r="K269" s="138" t="str">
        <f t="shared" si="18"/>
        <v/>
      </c>
      <c r="L269" s="138" t="str">
        <f t="shared" si="19"/>
        <v/>
      </c>
      <c r="M269" s="61"/>
      <c r="N269" s="61"/>
      <c r="O269" s="61"/>
      <c r="P269" s="61"/>
    </row>
    <row r="270" spans="1:16" ht="15" customHeight="1" x14ac:dyDescent="0.25">
      <c r="A270" s="61"/>
      <c r="B270" s="61"/>
      <c r="C270" s="61"/>
      <c r="D270" s="135"/>
      <c r="E270" s="64"/>
      <c r="F270" s="64"/>
      <c r="G270" s="64"/>
      <c r="H270" s="64"/>
      <c r="I270" s="137" t="str">
        <f t="shared" si="16"/>
        <v/>
      </c>
      <c r="J270" s="137" t="str">
        <f t="shared" si="17"/>
        <v/>
      </c>
      <c r="K270" s="138" t="str">
        <f t="shared" si="18"/>
        <v/>
      </c>
      <c r="L270" s="138" t="str">
        <f t="shared" si="19"/>
        <v/>
      </c>
      <c r="M270" s="61"/>
      <c r="N270" s="61"/>
      <c r="O270" s="61"/>
      <c r="P270" s="61"/>
    </row>
    <row r="271" spans="1:16" ht="15" customHeight="1" x14ac:dyDescent="0.25">
      <c r="A271" s="61"/>
      <c r="B271" s="61"/>
      <c r="C271" s="61"/>
      <c r="D271" s="135"/>
      <c r="E271" s="64"/>
      <c r="F271" s="64"/>
      <c r="G271" s="64"/>
      <c r="H271" s="64"/>
      <c r="I271" s="137" t="str">
        <f t="shared" si="16"/>
        <v/>
      </c>
      <c r="J271" s="137" t="str">
        <f t="shared" si="17"/>
        <v/>
      </c>
      <c r="K271" s="138" t="str">
        <f t="shared" si="18"/>
        <v/>
      </c>
      <c r="L271" s="138" t="str">
        <f t="shared" si="19"/>
        <v/>
      </c>
      <c r="M271" s="61"/>
      <c r="N271" s="61"/>
      <c r="O271" s="61"/>
      <c r="P271" s="61"/>
    </row>
    <row r="272" spans="1:16" ht="15" customHeight="1" x14ac:dyDescent="0.25">
      <c r="A272" s="61"/>
      <c r="B272" s="61"/>
      <c r="C272" s="61"/>
      <c r="D272" s="135"/>
      <c r="E272" s="64"/>
      <c r="F272" s="64"/>
      <c r="G272" s="64"/>
      <c r="H272" s="64"/>
      <c r="I272" s="137" t="str">
        <f t="shared" si="16"/>
        <v/>
      </c>
      <c r="J272" s="137" t="str">
        <f t="shared" si="17"/>
        <v/>
      </c>
      <c r="K272" s="138" t="str">
        <f t="shared" si="18"/>
        <v/>
      </c>
      <c r="L272" s="138" t="str">
        <f t="shared" si="19"/>
        <v/>
      </c>
      <c r="M272" s="61"/>
      <c r="N272" s="61"/>
      <c r="O272" s="61"/>
      <c r="P272" s="61"/>
    </row>
    <row r="273" spans="1:16" ht="15" customHeight="1" x14ac:dyDescent="0.25">
      <c r="A273" s="61"/>
      <c r="B273" s="61"/>
      <c r="C273" s="61"/>
      <c r="D273" s="135"/>
      <c r="E273" s="64"/>
      <c r="F273" s="64"/>
      <c r="G273" s="64"/>
      <c r="H273" s="64"/>
      <c r="I273" s="137" t="str">
        <f t="shared" si="16"/>
        <v/>
      </c>
      <c r="J273" s="137" t="str">
        <f t="shared" si="17"/>
        <v/>
      </c>
      <c r="K273" s="138" t="str">
        <f t="shared" si="18"/>
        <v/>
      </c>
      <c r="L273" s="138" t="str">
        <f t="shared" si="19"/>
        <v/>
      </c>
      <c r="M273" s="61"/>
      <c r="N273" s="61"/>
      <c r="O273" s="61"/>
      <c r="P273" s="61"/>
    </row>
    <row r="274" spans="1:16" ht="15" customHeight="1" x14ac:dyDescent="0.25">
      <c r="A274" s="61"/>
      <c r="B274" s="61"/>
      <c r="C274" s="61"/>
      <c r="D274" s="135"/>
      <c r="E274" s="64"/>
      <c r="F274" s="64"/>
      <c r="G274" s="64"/>
      <c r="H274" s="64"/>
      <c r="I274" s="137" t="str">
        <f t="shared" si="16"/>
        <v/>
      </c>
      <c r="J274" s="137" t="str">
        <f t="shared" si="17"/>
        <v/>
      </c>
      <c r="K274" s="138" t="str">
        <f t="shared" si="18"/>
        <v/>
      </c>
      <c r="L274" s="138" t="str">
        <f t="shared" si="19"/>
        <v/>
      </c>
      <c r="M274" s="61"/>
      <c r="N274" s="61"/>
      <c r="O274" s="61"/>
      <c r="P274" s="61"/>
    </row>
    <row r="275" spans="1:16" ht="15" customHeight="1" x14ac:dyDescent="0.25">
      <c r="A275" s="61"/>
      <c r="B275" s="61"/>
      <c r="C275" s="61"/>
      <c r="D275" s="135"/>
      <c r="E275" s="64"/>
      <c r="F275" s="64"/>
      <c r="G275" s="64"/>
      <c r="H275" s="64"/>
      <c r="I275" s="137" t="str">
        <f t="shared" si="16"/>
        <v/>
      </c>
      <c r="J275" s="137" t="str">
        <f t="shared" si="17"/>
        <v/>
      </c>
      <c r="K275" s="138" t="str">
        <f t="shared" si="18"/>
        <v/>
      </c>
      <c r="L275" s="138" t="str">
        <f t="shared" si="19"/>
        <v/>
      </c>
      <c r="M275" s="61"/>
      <c r="N275" s="61"/>
      <c r="O275" s="61"/>
      <c r="P275" s="61"/>
    </row>
    <row r="276" spans="1:16" ht="15" customHeight="1" x14ac:dyDescent="0.25">
      <c r="A276" s="61"/>
      <c r="B276" s="61"/>
      <c r="C276" s="61"/>
      <c r="D276" s="135"/>
      <c r="E276" s="64"/>
      <c r="F276" s="64"/>
      <c r="G276" s="64"/>
      <c r="H276" s="64"/>
      <c r="I276" s="137" t="str">
        <f t="shared" si="16"/>
        <v/>
      </c>
      <c r="J276" s="137" t="str">
        <f t="shared" si="17"/>
        <v/>
      </c>
      <c r="K276" s="138" t="str">
        <f t="shared" si="18"/>
        <v/>
      </c>
      <c r="L276" s="138" t="str">
        <f t="shared" si="19"/>
        <v/>
      </c>
      <c r="M276" s="61"/>
      <c r="N276" s="61"/>
      <c r="O276" s="61"/>
      <c r="P276" s="61"/>
    </row>
    <row r="277" spans="1:16" ht="15" customHeight="1" x14ac:dyDescent="0.25">
      <c r="A277" s="61"/>
      <c r="B277" s="61"/>
      <c r="C277" s="61"/>
      <c r="D277" s="135"/>
      <c r="E277" s="64"/>
      <c r="F277" s="64"/>
      <c r="G277" s="64"/>
      <c r="H277" s="64"/>
      <c r="I277" s="137" t="str">
        <f t="shared" si="16"/>
        <v/>
      </c>
      <c r="J277" s="137" t="str">
        <f t="shared" si="17"/>
        <v/>
      </c>
      <c r="K277" s="138" t="str">
        <f t="shared" si="18"/>
        <v/>
      </c>
      <c r="L277" s="138" t="str">
        <f t="shared" si="19"/>
        <v/>
      </c>
      <c r="M277" s="61"/>
      <c r="N277" s="61"/>
      <c r="O277" s="61"/>
      <c r="P277" s="61"/>
    </row>
    <row r="278" spans="1:16" ht="15" customHeight="1" x14ac:dyDescent="0.25">
      <c r="A278" s="61"/>
      <c r="B278" s="61"/>
      <c r="C278" s="61"/>
      <c r="D278" s="135"/>
      <c r="E278" s="64"/>
      <c r="F278" s="64"/>
      <c r="G278" s="64"/>
      <c r="H278" s="64"/>
      <c r="I278" s="137" t="str">
        <f t="shared" si="16"/>
        <v/>
      </c>
      <c r="J278" s="137" t="str">
        <f t="shared" si="17"/>
        <v/>
      </c>
      <c r="K278" s="138" t="str">
        <f t="shared" si="18"/>
        <v/>
      </c>
      <c r="L278" s="138" t="str">
        <f t="shared" si="19"/>
        <v/>
      </c>
      <c r="M278" s="61"/>
      <c r="N278" s="61"/>
      <c r="O278" s="61"/>
      <c r="P278" s="61"/>
    </row>
    <row r="279" spans="1:16" ht="15" customHeight="1" x14ac:dyDescent="0.25">
      <c r="A279" s="61"/>
      <c r="B279" s="61"/>
      <c r="C279" s="61"/>
      <c r="D279" s="135"/>
      <c r="E279" s="64"/>
      <c r="F279" s="64"/>
      <c r="G279" s="64"/>
      <c r="H279" s="64"/>
      <c r="I279" s="137" t="str">
        <f t="shared" si="16"/>
        <v/>
      </c>
      <c r="J279" s="137" t="str">
        <f t="shared" si="17"/>
        <v/>
      </c>
      <c r="K279" s="138" t="str">
        <f t="shared" si="18"/>
        <v/>
      </c>
      <c r="L279" s="138" t="str">
        <f t="shared" si="19"/>
        <v/>
      </c>
      <c r="M279" s="61"/>
      <c r="N279" s="61"/>
      <c r="O279" s="61"/>
      <c r="P279" s="61"/>
    </row>
    <row r="280" spans="1:16" ht="15" customHeight="1" x14ac:dyDescent="0.25">
      <c r="A280" s="61"/>
      <c r="B280" s="61"/>
      <c r="C280" s="61"/>
      <c r="D280" s="135"/>
      <c r="E280" s="64"/>
      <c r="F280" s="64"/>
      <c r="G280" s="64"/>
      <c r="H280" s="64"/>
      <c r="I280" s="137" t="str">
        <f t="shared" si="16"/>
        <v/>
      </c>
      <c r="J280" s="137" t="str">
        <f t="shared" si="17"/>
        <v/>
      </c>
      <c r="K280" s="138" t="str">
        <f t="shared" si="18"/>
        <v/>
      </c>
      <c r="L280" s="138" t="str">
        <f t="shared" si="19"/>
        <v/>
      </c>
      <c r="M280" s="61"/>
      <c r="N280" s="61"/>
      <c r="O280" s="61"/>
      <c r="P280" s="61"/>
    </row>
    <row r="281" spans="1:16" ht="15" customHeight="1" x14ac:dyDescent="0.25">
      <c r="A281" s="61"/>
      <c r="B281" s="61"/>
      <c r="C281" s="61"/>
      <c r="D281" s="135"/>
      <c r="E281" s="64"/>
      <c r="F281" s="64"/>
      <c r="G281" s="64"/>
      <c r="H281" s="64"/>
      <c r="I281" s="137" t="str">
        <f t="shared" si="16"/>
        <v/>
      </c>
      <c r="J281" s="137" t="str">
        <f t="shared" si="17"/>
        <v/>
      </c>
      <c r="K281" s="138" t="str">
        <f t="shared" si="18"/>
        <v/>
      </c>
      <c r="L281" s="138" t="str">
        <f t="shared" si="19"/>
        <v/>
      </c>
      <c r="M281" s="61"/>
      <c r="N281" s="61"/>
      <c r="O281" s="61"/>
      <c r="P281" s="61"/>
    </row>
    <row r="282" spans="1:16" ht="15" customHeight="1" x14ac:dyDescent="0.25">
      <c r="A282" s="61"/>
      <c r="B282" s="61"/>
      <c r="C282" s="61"/>
      <c r="D282" s="135"/>
      <c r="E282" s="64"/>
      <c r="F282" s="64"/>
      <c r="G282" s="64"/>
      <c r="H282" s="64"/>
      <c r="I282" s="137" t="str">
        <f t="shared" si="16"/>
        <v/>
      </c>
      <c r="J282" s="137" t="str">
        <f t="shared" si="17"/>
        <v/>
      </c>
      <c r="K282" s="138" t="str">
        <f t="shared" si="18"/>
        <v/>
      </c>
      <c r="L282" s="138" t="str">
        <f t="shared" si="19"/>
        <v/>
      </c>
      <c r="M282" s="61"/>
      <c r="N282" s="61"/>
      <c r="O282" s="61"/>
      <c r="P282" s="61"/>
    </row>
    <row r="283" spans="1:16" ht="15" customHeight="1" x14ac:dyDescent="0.25">
      <c r="A283" s="61"/>
      <c r="B283" s="61"/>
      <c r="C283" s="61"/>
      <c r="D283" s="135"/>
      <c r="E283" s="64"/>
      <c r="F283" s="64"/>
      <c r="G283" s="64"/>
      <c r="H283" s="64"/>
      <c r="I283" s="137" t="str">
        <f t="shared" si="16"/>
        <v/>
      </c>
      <c r="J283" s="137" t="str">
        <f t="shared" si="17"/>
        <v/>
      </c>
      <c r="K283" s="138" t="str">
        <f t="shared" si="18"/>
        <v/>
      </c>
      <c r="L283" s="138" t="str">
        <f t="shared" si="19"/>
        <v/>
      </c>
      <c r="M283" s="61"/>
      <c r="N283" s="61"/>
      <c r="O283" s="61"/>
      <c r="P283" s="61"/>
    </row>
    <row r="284" spans="1:16" ht="15" customHeight="1" x14ac:dyDescent="0.25">
      <c r="A284" s="61"/>
      <c r="B284" s="61"/>
      <c r="C284" s="61"/>
      <c r="D284" s="135"/>
      <c r="E284" s="64"/>
      <c r="F284" s="64"/>
      <c r="G284" s="64"/>
      <c r="H284" s="64"/>
      <c r="I284" s="137" t="str">
        <f t="shared" si="16"/>
        <v/>
      </c>
      <c r="J284" s="137" t="str">
        <f t="shared" si="17"/>
        <v/>
      </c>
      <c r="K284" s="138" t="str">
        <f t="shared" si="18"/>
        <v/>
      </c>
      <c r="L284" s="138" t="str">
        <f t="shared" si="19"/>
        <v/>
      </c>
      <c r="M284" s="61"/>
      <c r="N284" s="61"/>
      <c r="O284" s="61"/>
      <c r="P284" s="61"/>
    </row>
    <row r="285" spans="1:16" ht="15" customHeight="1" x14ac:dyDescent="0.25">
      <c r="A285" s="61"/>
      <c r="B285" s="61"/>
      <c r="C285" s="61"/>
      <c r="D285" s="135"/>
      <c r="E285" s="64"/>
      <c r="F285" s="64"/>
      <c r="G285" s="64"/>
      <c r="H285" s="64"/>
      <c r="I285" s="137" t="str">
        <f t="shared" si="16"/>
        <v/>
      </c>
      <c r="J285" s="137" t="str">
        <f t="shared" si="17"/>
        <v/>
      </c>
      <c r="K285" s="138" t="str">
        <f t="shared" si="18"/>
        <v/>
      </c>
      <c r="L285" s="138" t="str">
        <f t="shared" si="19"/>
        <v/>
      </c>
      <c r="M285" s="61"/>
      <c r="N285" s="61"/>
      <c r="O285" s="61"/>
      <c r="P285" s="61"/>
    </row>
    <row r="286" spans="1:16" ht="15" customHeight="1" x14ac:dyDescent="0.25">
      <c r="A286" s="61"/>
      <c r="B286" s="61"/>
      <c r="C286" s="61"/>
      <c r="D286" s="135"/>
      <c r="E286" s="64"/>
      <c r="F286" s="64"/>
      <c r="G286" s="64"/>
      <c r="H286" s="64"/>
      <c r="I286" s="137" t="str">
        <f t="shared" si="16"/>
        <v/>
      </c>
      <c r="J286" s="137" t="str">
        <f t="shared" si="17"/>
        <v/>
      </c>
      <c r="K286" s="138" t="str">
        <f t="shared" si="18"/>
        <v/>
      </c>
      <c r="L286" s="138" t="str">
        <f t="shared" si="19"/>
        <v/>
      </c>
      <c r="M286" s="61"/>
      <c r="N286" s="61"/>
      <c r="O286" s="61"/>
      <c r="P286" s="61"/>
    </row>
    <row r="287" spans="1:16" ht="15" customHeight="1" x14ac:dyDescent="0.25">
      <c r="A287" s="61"/>
      <c r="B287" s="61"/>
      <c r="C287" s="61"/>
      <c r="D287" s="135"/>
      <c r="E287" s="64"/>
      <c r="F287" s="64"/>
      <c r="G287" s="64"/>
      <c r="H287" s="64"/>
      <c r="I287" s="137" t="str">
        <f t="shared" si="16"/>
        <v/>
      </c>
      <c r="J287" s="137" t="str">
        <f t="shared" si="17"/>
        <v/>
      </c>
      <c r="K287" s="138" t="str">
        <f t="shared" si="18"/>
        <v/>
      </c>
      <c r="L287" s="138" t="str">
        <f t="shared" si="19"/>
        <v/>
      </c>
      <c r="M287" s="61"/>
      <c r="N287" s="61"/>
      <c r="O287" s="61"/>
      <c r="P287" s="61"/>
    </row>
    <row r="288" spans="1:16" ht="15" customHeight="1" x14ac:dyDescent="0.25">
      <c r="A288" s="61"/>
      <c r="B288" s="61"/>
      <c r="C288" s="61"/>
      <c r="D288" s="135"/>
      <c r="E288" s="64"/>
      <c r="F288" s="64"/>
      <c r="G288" s="64"/>
      <c r="H288" s="64"/>
      <c r="I288" s="137" t="str">
        <f t="shared" si="16"/>
        <v/>
      </c>
      <c r="J288" s="137" t="str">
        <f t="shared" si="17"/>
        <v/>
      </c>
      <c r="K288" s="138" t="str">
        <f t="shared" si="18"/>
        <v/>
      </c>
      <c r="L288" s="138" t="str">
        <f t="shared" si="19"/>
        <v/>
      </c>
      <c r="M288" s="61"/>
      <c r="N288" s="61"/>
      <c r="O288" s="61"/>
      <c r="P288" s="61"/>
    </row>
    <row r="289" spans="1:16" ht="15" customHeight="1" x14ac:dyDescent="0.25">
      <c r="A289" s="61"/>
      <c r="B289" s="61"/>
      <c r="C289" s="61"/>
      <c r="D289" s="135"/>
      <c r="E289" s="64"/>
      <c r="F289" s="64"/>
      <c r="G289" s="64"/>
      <c r="H289" s="64"/>
      <c r="I289" s="137" t="str">
        <f t="shared" si="16"/>
        <v/>
      </c>
      <c r="J289" s="137" t="str">
        <f t="shared" si="17"/>
        <v/>
      </c>
      <c r="K289" s="138" t="str">
        <f t="shared" si="18"/>
        <v/>
      </c>
      <c r="L289" s="138" t="str">
        <f t="shared" si="19"/>
        <v/>
      </c>
      <c r="M289" s="61"/>
      <c r="N289" s="61"/>
      <c r="O289" s="61"/>
      <c r="P289" s="61"/>
    </row>
    <row r="290" spans="1:16" ht="15" customHeight="1" x14ac:dyDescent="0.25">
      <c r="A290" s="61"/>
      <c r="B290" s="61"/>
      <c r="C290" s="61"/>
      <c r="D290" s="135"/>
      <c r="E290" s="64"/>
      <c r="F290" s="64"/>
      <c r="G290" s="64"/>
      <c r="H290" s="64"/>
      <c r="I290" s="137" t="str">
        <f t="shared" si="16"/>
        <v/>
      </c>
      <c r="J290" s="137" t="str">
        <f t="shared" si="17"/>
        <v/>
      </c>
      <c r="K290" s="138" t="str">
        <f t="shared" si="18"/>
        <v/>
      </c>
      <c r="L290" s="138" t="str">
        <f t="shared" si="19"/>
        <v/>
      </c>
      <c r="M290" s="61"/>
      <c r="N290" s="61"/>
      <c r="O290" s="61"/>
      <c r="P290" s="61"/>
    </row>
    <row r="291" spans="1:16" ht="15" customHeight="1" x14ac:dyDescent="0.25">
      <c r="A291" s="61"/>
      <c r="B291" s="61"/>
      <c r="C291" s="61"/>
      <c r="D291" s="135"/>
      <c r="E291" s="64"/>
      <c r="F291" s="64"/>
      <c r="G291" s="64"/>
      <c r="H291" s="64"/>
      <c r="I291" s="137" t="str">
        <f t="shared" si="16"/>
        <v/>
      </c>
      <c r="J291" s="137" t="str">
        <f t="shared" si="17"/>
        <v/>
      </c>
      <c r="K291" s="138" t="str">
        <f t="shared" si="18"/>
        <v/>
      </c>
      <c r="L291" s="138" t="str">
        <f t="shared" si="19"/>
        <v/>
      </c>
      <c r="M291" s="61"/>
      <c r="N291" s="61"/>
      <c r="O291" s="61"/>
      <c r="P291" s="61"/>
    </row>
    <row r="292" spans="1:16" ht="15" customHeight="1" x14ac:dyDescent="0.25">
      <c r="A292" s="61"/>
      <c r="B292" s="61"/>
      <c r="C292" s="61"/>
      <c r="D292" s="135"/>
      <c r="E292" s="64"/>
      <c r="F292" s="64"/>
      <c r="G292" s="64"/>
      <c r="H292" s="64"/>
      <c r="I292" s="137" t="str">
        <f t="shared" si="16"/>
        <v/>
      </c>
      <c r="J292" s="137" t="str">
        <f t="shared" si="17"/>
        <v/>
      </c>
      <c r="K292" s="138" t="str">
        <f t="shared" si="18"/>
        <v/>
      </c>
      <c r="L292" s="138" t="str">
        <f t="shared" si="19"/>
        <v/>
      </c>
      <c r="M292" s="61"/>
      <c r="N292" s="61"/>
      <c r="O292" s="61"/>
      <c r="P292" s="61"/>
    </row>
    <row r="293" spans="1:16" ht="15" customHeight="1" x14ac:dyDescent="0.25">
      <c r="A293" s="61"/>
      <c r="B293" s="61"/>
      <c r="C293" s="61"/>
      <c r="D293" s="135"/>
      <c r="E293" s="64"/>
      <c r="F293" s="64"/>
      <c r="G293" s="64"/>
      <c r="H293" s="64"/>
      <c r="I293" s="137" t="str">
        <f t="shared" si="16"/>
        <v/>
      </c>
      <c r="J293" s="137" t="str">
        <f t="shared" si="17"/>
        <v/>
      </c>
      <c r="K293" s="138" t="str">
        <f t="shared" si="18"/>
        <v/>
      </c>
      <c r="L293" s="138" t="str">
        <f t="shared" si="19"/>
        <v/>
      </c>
      <c r="M293" s="61"/>
      <c r="N293" s="61"/>
      <c r="O293" s="61"/>
      <c r="P293" s="61"/>
    </row>
    <row r="294" spans="1:16" ht="15" customHeight="1" x14ac:dyDescent="0.25">
      <c r="A294" s="61"/>
      <c r="B294" s="61"/>
      <c r="C294" s="61"/>
      <c r="D294" s="135"/>
      <c r="E294" s="64"/>
      <c r="F294" s="64"/>
      <c r="G294" s="64"/>
      <c r="H294" s="64"/>
      <c r="I294" s="137" t="str">
        <f t="shared" si="16"/>
        <v/>
      </c>
      <c r="J294" s="137" t="str">
        <f t="shared" si="17"/>
        <v/>
      </c>
      <c r="K294" s="138" t="str">
        <f t="shared" si="18"/>
        <v/>
      </c>
      <c r="L294" s="138" t="str">
        <f t="shared" si="19"/>
        <v/>
      </c>
      <c r="M294" s="61"/>
      <c r="N294" s="61"/>
      <c r="O294" s="61"/>
      <c r="P294" s="61"/>
    </row>
    <row r="295" spans="1:16" ht="15" customHeight="1" x14ac:dyDescent="0.25">
      <c r="A295" s="61"/>
      <c r="B295" s="61"/>
      <c r="C295" s="61"/>
      <c r="D295" s="135"/>
      <c r="E295" s="64"/>
      <c r="F295" s="64"/>
      <c r="G295" s="64"/>
      <c r="H295" s="64"/>
      <c r="I295" s="137" t="str">
        <f t="shared" si="16"/>
        <v/>
      </c>
      <c r="J295" s="137" t="str">
        <f t="shared" si="17"/>
        <v/>
      </c>
      <c r="K295" s="138" t="str">
        <f t="shared" si="18"/>
        <v/>
      </c>
      <c r="L295" s="138" t="str">
        <f t="shared" si="19"/>
        <v/>
      </c>
      <c r="M295" s="61"/>
      <c r="N295" s="61"/>
      <c r="O295" s="61"/>
      <c r="P295" s="61"/>
    </row>
    <row r="296" spans="1:16" ht="15" customHeight="1" x14ac:dyDescent="0.25">
      <c r="A296" s="61"/>
      <c r="B296" s="61"/>
      <c r="C296" s="61"/>
      <c r="D296" s="135"/>
      <c r="E296" s="64"/>
      <c r="F296" s="64"/>
      <c r="G296" s="64"/>
      <c r="H296" s="64"/>
      <c r="I296" s="137" t="str">
        <f t="shared" si="16"/>
        <v/>
      </c>
      <c r="J296" s="137" t="str">
        <f t="shared" si="17"/>
        <v/>
      </c>
      <c r="K296" s="138" t="str">
        <f t="shared" si="18"/>
        <v/>
      </c>
      <c r="L296" s="138" t="str">
        <f t="shared" si="19"/>
        <v/>
      </c>
      <c r="M296" s="61"/>
      <c r="N296" s="61"/>
      <c r="O296" s="61"/>
      <c r="P296" s="61"/>
    </row>
    <row r="297" spans="1:16" ht="15" customHeight="1" x14ac:dyDescent="0.25">
      <c r="A297" s="61"/>
      <c r="B297" s="61"/>
      <c r="C297" s="61"/>
      <c r="D297" s="135"/>
      <c r="E297" s="64"/>
      <c r="F297" s="64"/>
      <c r="G297" s="64"/>
      <c r="H297" s="64"/>
      <c r="I297" s="137" t="str">
        <f t="shared" si="16"/>
        <v/>
      </c>
      <c r="J297" s="137" t="str">
        <f t="shared" si="17"/>
        <v/>
      </c>
      <c r="K297" s="138" t="str">
        <f t="shared" si="18"/>
        <v/>
      </c>
      <c r="L297" s="138" t="str">
        <f t="shared" si="19"/>
        <v/>
      </c>
      <c r="M297" s="61"/>
      <c r="N297" s="61"/>
      <c r="O297" s="61"/>
      <c r="P297" s="61"/>
    </row>
    <row r="298" spans="1:16" ht="15" customHeight="1" x14ac:dyDescent="0.25">
      <c r="A298" s="61"/>
      <c r="B298" s="61"/>
      <c r="C298" s="61"/>
      <c r="D298" s="135"/>
      <c r="E298" s="64"/>
      <c r="F298" s="64"/>
      <c r="G298" s="64"/>
      <c r="H298" s="64"/>
      <c r="I298" s="137" t="str">
        <f t="shared" si="16"/>
        <v/>
      </c>
      <c r="J298" s="137" t="str">
        <f t="shared" si="17"/>
        <v/>
      </c>
      <c r="K298" s="138" t="str">
        <f t="shared" si="18"/>
        <v/>
      </c>
      <c r="L298" s="138" t="str">
        <f t="shared" si="19"/>
        <v/>
      </c>
      <c r="M298" s="61"/>
      <c r="N298" s="61"/>
      <c r="O298" s="61"/>
      <c r="P298" s="61"/>
    </row>
    <row r="299" spans="1:16" ht="15" customHeight="1" x14ac:dyDescent="0.25">
      <c r="A299" s="61"/>
      <c r="B299" s="61"/>
      <c r="C299" s="61"/>
      <c r="D299" s="135"/>
      <c r="E299" s="64"/>
      <c r="F299" s="64"/>
      <c r="G299" s="64"/>
      <c r="H299" s="64"/>
      <c r="I299" s="137" t="str">
        <f t="shared" si="16"/>
        <v/>
      </c>
      <c r="J299" s="137" t="str">
        <f t="shared" si="17"/>
        <v/>
      </c>
      <c r="K299" s="138" t="str">
        <f t="shared" si="18"/>
        <v/>
      </c>
      <c r="L299" s="138" t="str">
        <f t="shared" si="19"/>
        <v/>
      </c>
      <c r="M299" s="61"/>
      <c r="N299" s="61"/>
      <c r="O299" s="61"/>
      <c r="P299" s="61"/>
    </row>
    <row r="300" spans="1:16" ht="15" customHeight="1" x14ac:dyDescent="0.25">
      <c r="A300" s="61"/>
      <c r="B300" s="61"/>
      <c r="C300" s="61"/>
      <c r="D300" s="135"/>
      <c r="E300" s="64"/>
      <c r="F300" s="64"/>
      <c r="G300" s="64"/>
      <c r="H300" s="64"/>
      <c r="I300" s="137" t="str">
        <f t="shared" si="16"/>
        <v/>
      </c>
      <c r="J300" s="137" t="str">
        <f t="shared" si="17"/>
        <v/>
      </c>
      <c r="K300" s="138" t="str">
        <f t="shared" si="18"/>
        <v/>
      </c>
      <c r="L300" s="138" t="str">
        <f t="shared" si="19"/>
        <v/>
      </c>
      <c r="M300" s="61"/>
      <c r="N300" s="61"/>
      <c r="O300" s="61"/>
      <c r="P300" s="61"/>
    </row>
    <row r="301" spans="1:16" ht="15" customHeight="1" x14ac:dyDescent="0.25">
      <c r="A301" s="61"/>
      <c r="B301" s="61"/>
      <c r="C301" s="61"/>
      <c r="D301" s="135"/>
      <c r="E301" s="64"/>
      <c r="F301" s="64"/>
      <c r="G301" s="64"/>
      <c r="H301" s="64"/>
      <c r="I301" s="137" t="str">
        <f t="shared" si="16"/>
        <v/>
      </c>
      <c r="J301" s="137" t="str">
        <f t="shared" si="17"/>
        <v/>
      </c>
      <c r="K301" s="138" t="str">
        <f t="shared" si="18"/>
        <v/>
      </c>
      <c r="L301" s="138" t="str">
        <f t="shared" si="19"/>
        <v/>
      </c>
      <c r="M301" s="61"/>
      <c r="N301" s="61"/>
      <c r="O301" s="61"/>
      <c r="P301" s="61"/>
    </row>
    <row r="302" spans="1:16" ht="15" customHeight="1" x14ac:dyDescent="0.25">
      <c r="A302" s="61"/>
      <c r="B302" s="61"/>
      <c r="C302" s="61"/>
      <c r="D302" s="135"/>
      <c r="E302" s="64"/>
      <c r="F302" s="64"/>
      <c r="G302" s="64"/>
      <c r="H302" s="64"/>
      <c r="I302" s="137" t="str">
        <f t="shared" si="16"/>
        <v/>
      </c>
      <c r="J302" s="137" t="str">
        <f t="shared" si="17"/>
        <v/>
      </c>
      <c r="K302" s="138" t="str">
        <f t="shared" si="18"/>
        <v/>
      </c>
      <c r="L302" s="138" t="str">
        <f t="shared" si="19"/>
        <v/>
      </c>
      <c r="M302" s="61"/>
      <c r="N302" s="61"/>
      <c r="O302" s="61"/>
      <c r="P302" s="61"/>
    </row>
    <row r="303" spans="1:16" ht="15" customHeight="1" x14ac:dyDescent="0.25">
      <c r="A303" s="61"/>
      <c r="B303" s="61"/>
      <c r="C303" s="61"/>
      <c r="D303" s="135"/>
      <c r="E303" s="64"/>
      <c r="F303" s="64"/>
      <c r="G303" s="64"/>
      <c r="H303" s="64"/>
      <c r="I303" s="137" t="str">
        <f t="shared" si="16"/>
        <v/>
      </c>
      <c r="J303" s="137" t="str">
        <f t="shared" si="17"/>
        <v/>
      </c>
      <c r="K303" s="138" t="str">
        <f t="shared" si="18"/>
        <v/>
      </c>
      <c r="L303" s="138" t="str">
        <f t="shared" si="19"/>
        <v/>
      </c>
      <c r="M303" s="61"/>
      <c r="N303" s="61"/>
      <c r="O303" s="61"/>
      <c r="P303" s="61"/>
    </row>
    <row r="304" spans="1:16" ht="15" customHeight="1" x14ac:dyDescent="0.25">
      <c r="A304" s="61"/>
      <c r="B304" s="61"/>
      <c r="C304" s="61"/>
      <c r="D304" s="135"/>
      <c r="E304" s="64"/>
      <c r="F304" s="64"/>
      <c r="G304" s="64"/>
      <c r="H304" s="64"/>
      <c r="I304" s="137" t="str">
        <f t="shared" si="16"/>
        <v/>
      </c>
      <c r="J304" s="137" t="str">
        <f t="shared" si="17"/>
        <v/>
      </c>
      <c r="K304" s="138" t="str">
        <f t="shared" si="18"/>
        <v/>
      </c>
      <c r="L304" s="138" t="str">
        <f t="shared" si="19"/>
        <v/>
      </c>
      <c r="M304" s="61"/>
      <c r="N304" s="61"/>
      <c r="O304" s="61"/>
      <c r="P304" s="61"/>
    </row>
    <row r="305" spans="1:16" ht="15" customHeight="1" x14ac:dyDescent="0.25">
      <c r="A305" s="61"/>
      <c r="B305" s="61"/>
      <c r="C305" s="61"/>
      <c r="D305" s="135"/>
      <c r="E305" s="64"/>
      <c r="F305" s="64"/>
      <c r="G305" s="64"/>
      <c r="H305" s="64"/>
      <c r="I305" s="137" t="str">
        <f t="shared" si="16"/>
        <v/>
      </c>
      <c r="J305" s="137" t="str">
        <f t="shared" si="17"/>
        <v/>
      </c>
      <c r="K305" s="138" t="str">
        <f t="shared" si="18"/>
        <v/>
      </c>
      <c r="L305" s="138" t="str">
        <f t="shared" si="19"/>
        <v/>
      </c>
      <c r="M305" s="61"/>
      <c r="N305" s="61"/>
      <c r="O305" s="61"/>
      <c r="P305" s="61"/>
    </row>
    <row r="306" spans="1:16" ht="15" customHeight="1" x14ac:dyDescent="0.25">
      <c r="A306" s="61"/>
      <c r="B306" s="61"/>
      <c r="C306" s="61"/>
      <c r="D306" s="135"/>
      <c r="E306" s="64"/>
      <c r="F306" s="64"/>
      <c r="G306" s="64"/>
      <c r="H306" s="64"/>
      <c r="I306" s="137" t="str">
        <f t="shared" si="16"/>
        <v/>
      </c>
      <c r="J306" s="137" t="str">
        <f t="shared" si="17"/>
        <v/>
      </c>
      <c r="K306" s="138" t="str">
        <f t="shared" si="18"/>
        <v/>
      </c>
      <c r="L306" s="138" t="str">
        <f t="shared" si="19"/>
        <v/>
      </c>
      <c r="M306" s="61"/>
      <c r="N306" s="61"/>
      <c r="O306" s="61"/>
      <c r="P306" s="61"/>
    </row>
    <row r="307" spans="1:16" ht="15" customHeight="1" x14ac:dyDescent="0.25">
      <c r="A307" s="61"/>
      <c r="B307" s="61"/>
      <c r="C307" s="61"/>
      <c r="D307" s="135"/>
      <c r="E307" s="64"/>
      <c r="F307" s="64"/>
      <c r="G307" s="64"/>
      <c r="H307" s="64"/>
      <c r="I307" s="137" t="str">
        <f t="shared" si="16"/>
        <v/>
      </c>
      <c r="J307" s="137" t="str">
        <f t="shared" si="17"/>
        <v/>
      </c>
      <c r="K307" s="138" t="str">
        <f t="shared" si="18"/>
        <v/>
      </c>
      <c r="L307" s="138" t="str">
        <f t="shared" si="19"/>
        <v/>
      </c>
      <c r="M307" s="61"/>
      <c r="N307" s="61"/>
      <c r="O307" s="61"/>
      <c r="P307" s="61"/>
    </row>
    <row r="308" spans="1:16" ht="15" customHeight="1" x14ac:dyDescent="0.25">
      <c r="A308" s="61"/>
      <c r="B308" s="61"/>
      <c r="C308" s="61"/>
      <c r="D308" s="135"/>
      <c r="E308" s="64"/>
      <c r="F308" s="64"/>
      <c r="G308" s="64"/>
      <c r="H308" s="64"/>
      <c r="I308" s="137" t="str">
        <f t="shared" si="16"/>
        <v/>
      </c>
      <c r="J308" s="137" t="str">
        <f t="shared" si="17"/>
        <v/>
      </c>
      <c r="K308" s="138" t="str">
        <f t="shared" si="18"/>
        <v/>
      </c>
      <c r="L308" s="138" t="str">
        <f t="shared" si="19"/>
        <v/>
      </c>
      <c r="M308" s="61"/>
      <c r="N308" s="61"/>
      <c r="O308" s="61"/>
      <c r="P308" s="61"/>
    </row>
    <row r="309" spans="1:16" ht="15" customHeight="1" x14ac:dyDescent="0.25">
      <c r="A309" s="61"/>
      <c r="B309" s="61"/>
      <c r="C309" s="61"/>
      <c r="D309" s="135"/>
      <c r="E309" s="64"/>
      <c r="F309" s="64"/>
      <c r="G309" s="64"/>
      <c r="H309" s="64"/>
      <c r="I309" s="137" t="str">
        <f t="shared" si="16"/>
        <v/>
      </c>
      <c r="J309" s="137" t="str">
        <f t="shared" si="17"/>
        <v/>
      </c>
      <c r="K309" s="138" t="str">
        <f t="shared" si="18"/>
        <v/>
      </c>
      <c r="L309" s="138" t="str">
        <f t="shared" si="19"/>
        <v/>
      </c>
      <c r="M309" s="61"/>
      <c r="N309" s="61"/>
      <c r="O309" s="61"/>
      <c r="P309" s="61"/>
    </row>
    <row r="310" spans="1:16" ht="15" customHeight="1" x14ac:dyDescent="0.25">
      <c r="A310" s="61"/>
      <c r="B310" s="61"/>
      <c r="C310" s="61"/>
      <c r="D310" s="135"/>
      <c r="E310" s="64"/>
      <c r="F310" s="64"/>
      <c r="G310" s="64"/>
      <c r="H310" s="64"/>
      <c r="I310" s="137" t="str">
        <f t="shared" si="16"/>
        <v/>
      </c>
      <c r="J310" s="137" t="str">
        <f t="shared" si="17"/>
        <v/>
      </c>
      <c r="K310" s="138" t="str">
        <f t="shared" si="18"/>
        <v/>
      </c>
      <c r="L310" s="138" t="str">
        <f t="shared" si="19"/>
        <v/>
      </c>
      <c r="M310" s="61"/>
      <c r="N310" s="61"/>
      <c r="O310" s="61"/>
      <c r="P310" s="61"/>
    </row>
    <row r="311" spans="1:16" ht="15" customHeight="1" x14ac:dyDescent="0.25">
      <c r="A311" s="61"/>
      <c r="B311" s="61"/>
      <c r="C311" s="61"/>
      <c r="D311" s="135"/>
      <c r="E311" s="64"/>
      <c r="F311" s="64"/>
      <c r="G311" s="64"/>
      <c r="H311" s="64"/>
      <c r="I311" s="137" t="str">
        <f t="shared" si="16"/>
        <v/>
      </c>
      <c r="J311" s="137" t="str">
        <f t="shared" si="17"/>
        <v/>
      </c>
      <c r="K311" s="138" t="str">
        <f t="shared" si="18"/>
        <v/>
      </c>
      <c r="L311" s="138" t="str">
        <f t="shared" si="19"/>
        <v/>
      </c>
      <c r="M311" s="61"/>
      <c r="N311" s="61"/>
      <c r="O311" s="61"/>
      <c r="P311" s="61"/>
    </row>
    <row r="312" spans="1:16" ht="15" customHeight="1" x14ac:dyDescent="0.25">
      <c r="A312" s="61"/>
      <c r="B312" s="61"/>
      <c r="C312" s="61"/>
      <c r="D312" s="135"/>
      <c r="E312" s="64"/>
      <c r="F312" s="64"/>
      <c r="G312" s="64"/>
      <c r="H312" s="64"/>
      <c r="I312" s="137" t="str">
        <f t="shared" si="16"/>
        <v/>
      </c>
      <c r="J312" s="137" t="str">
        <f t="shared" si="17"/>
        <v/>
      </c>
      <c r="K312" s="138" t="str">
        <f t="shared" si="18"/>
        <v/>
      </c>
      <c r="L312" s="138" t="str">
        <f t="shared" si="19"/>
        <v/>
      </c>
      <c r="M312" s="61"/>
      <c r="N312" s="61"/>
      <c r="O312" s="61"/>
      <c r="P312" s="61"/>
    </row>
    <row r="313" spans="1:16" ht="15" customHeight="1" x14ac:dyDescent="0.25">
      <c r="A313" s="61"/>
      <c r="B313" s="61"/>
      <c r="C313" s="61"/>
      <c r="D313" s="135"/>
      <c r="E313" s="64"/>
      <c r="F313" s="64"/>
      <c r="G313" s="64"/>
      <c r="H313" s="64"/>
      <c r="I313" s="137" t="str">
        <f t="shared" si="16"/>
        <v/>
      </c>
      <c r="J313" s="137" t="str">
        <f t="shared" si="17"/>
        <v/>
      </c>
      <c r="K313" s="138" t="str">
        <f t="shared" si="18"/>
        <v/>
      </c>
      <c r="L313" s="138" t="str">
        <f t="shared" si="19"/>
        <v/>
      </c>
      <c r="M313" s="61"/>
      <c r="N313" s="61"/>
      <c r="O313" s="61"/>
      <c r="P313" s="61"/>
    </row>
    <row r="314" spans="1:16" ht="15" customHeight="1" x14ac:dyDescent="0.25">
      <c r="A314" s="61"/>
      <c r="B314" s="61"/>
      <c r="C314" s="61"/>
      <c r="D314" s="135"/>
      <c r="E314" s="64"/>
      <c r="F314" s="64"/>
      <c r="G314" s="64"/>
      <c r="H314" s="64"/>
      <c r="I314" s="137" t="str">
        <f t="shared" si="16"/>
        <v/>
      </c>
      <c r="J314" s="137" t="str">
        <f t="shared" si="17"/>
        <v/>
      </c>
      <c r="K314" s="138" t="str">
        <f t="shared" si="18"/>
        <v/>
      </c>
      <c r="L314" s="138" t="str">
        <f t="shared" si="19"/>
        <v/>
      </c>
      <c r="M314" s="61"/>
      <c r="N314" s="61"/>
      <c r="O314" s="61"/>
      <c r="P314" s="61"/>
    </row>
    <row r="315" spans="1:16" ht="15" customHeight="1" x14ac:dyDescent="0.25">
      <c r="A315" s="61"/>
      <c r="B315" s="61"/>
      <c r="C315" s="61"/>
      <c r="D315" s="135"/>
      <c r="E315" s="64"/>
      <c r="F315" s="64"/>
      <c r="G315" s="64"/>
      <c r="H315" s="64"/>
      <c r="I315" s="137" t="str">
        <f t="shared" si="16"/>
        <v/>
      </c>
      <c r="J315" s="137" t="str">
        <f t="shared" si="17"/>
        <v/>
      </c>
      <c r="K315" s="138" t="str">
        <f t="shared" si="18"/>
        <v/>
      </c>
      <c r="L315" s="138" t="str">
        <f t="shared" si="19"/>
        <v/>
      </c>
      <c r="M315" s="61"/>
      <c r="N315" s="61"/>
      <c r="O315" s="61"/>
      <c r="P315" s="61"/>
    </row>
    <row r="316" spans="1:16" ht="15" customHeight="1" x14ac:dyDescent="0.25">
      <c r="A316" s="61"/>
      <c r="B316" s="61"/>
      <c r="C316" s="61"/>
      <c r="D316" s="135"/>
      <c r="E316" s="64"/>
      <c r="F316" s="64"/>
      <c r="G316" s="64"/>
      <c r="H316" s="64"/>
      <c r="I316" s="137" t="str">
        <f t="shared" si="16"/>
        <v/>
      </c>
      <c r="J316" s="137" t="str">
        <f t="shared" si="17"/>
        <v/>
      </c>
      <c r="K316" s="138" t="str">
        <f t="shared" si="18"/>
        <v/>
      </c>
      <c r="L316" s="138" t="str">
        <f t="shared" si="19"/>
        <v/>
      </c>
      <c r="M316" s="61"/>
      <c r="N316" s="61"/>
      <c r="O316" s="61"/>
      <c r="P316" s="61"/>
    </row>
    <row r="317" spans="1:16" ht="15" customHeight="1" x14ac:dyDescent="0.25">
      <c r="A317" s="61"/>
      <c r="B317" s="61"/>
      <c r="C317" s="61"/>
      <c r="D317" s="135"/>
      <c r="E317" s="64"/>
      <c r="F317" s="64"/>
      <c r="G317" s="64"/>
      <c r="H317" s="64"/>
      <c r="I317" s="137" t="str">
        <f t="shared" si="16"/>
        <v/>
      </c>
      <c r="J317" s="137" t="str">
        <f t="shared" si="17"/>
        <v/>
      </c>
      <c r="K317" s="138" t="str">
        <f t="shared" si="18"/>
        <v/>
      </c>
      <c r="L317" s="138" t="str">
        <f t="shared" si="19"/>
        <v/>
      </c>
      <c r="M317" s="61"/>
      <c r="N317" s="61"/>
      <c r="O317" s="61"/>
      <c r="P317" s="61"/>
    </row>
    <row r="318" spans="1:16" ht="15" customHeight="1" x14ac:dyDescent="0.25">
      <c r="A318" s="61"/>
      <c r="B318" s="61"/>
      <c r="C318" s="61"/>
      <c r="D318" s="135"/>
      <c r="E318" s="64"/>
      <c r="F318" s="64"/>
      <c r="G318" s="64"/>
      <c r="H318" s="64"/>
      <c r="I318" s="137" t="str">
        <f t="shared" si="16"/>
        <v/>
      </c>
      <c r="J318" s="137" t="str">
        <f t="shared" si="17"/>
        <v/>
      </c>
      <c r="K318" s="138" t="str">
        <f t="shared" si="18"/>
        <v/>
      </c>
      <c r="L318" s="138" t="str">
        <f t="shared" si="19"/>
        <v/>
      </c>
      <c r="M318" s="61"/>
      <c r="N318" s="61"/>
      <c r="O318" s="61"/>
      <c r="P318" s="61"/>
    </row>
    <row r="319" spans="1:16" ht="15" customHeight="1" x14ac:dyDescent="0.25">
      <c r="A319" s="61"/>
      <c r="B319" s="61"/>
      <c r="C319" s="61"/>
      <c r="D319" s="135"/>
      <c r="E319" s="64"/>
      <c r="F319" s="64"/>
      <c r="G319" s="64"/>
      <c r="H319" s="64"/>
      <c r="I319" s="137" t="str">
        <f t="shared" si="16"/>
        <v/>
      </c>
      <c r="J319" s="137" t="str">
        <f t="shared" si="17"/>
        <v/>
      </c>
      <c r="K319" s="138" t="str">
        <f t="shared" si="18"/>
        <v/>
      </c>
      <c r="L319" s="138" t="str">
        <f t="shared" si="19"/>
        <v/>
      </c>
      <c r="M319" s="61"/>
      <c r="N319" s="61"/>
      <c r="O319" s="61"/>
      <c r="P319" s="61"/>
    </row>
    <row r="320" spans="1:16" ht="15" customHeight="1" x14ac:dyDescent="0.25">
      <c r="A320" s="61"/>
      <c r="B320" s="61"/>
      <c r="C320" s="61"/>
      <c r="D320" s="135"/>
      <c r="E320" s="64"/>
      <c r="F320" s="64"/>
      <c r="G320" s="64"/>
      <c r="H320" s="64"/>
      <c r="I320" s="137" t="str">
        <f t="shared" si="16"/>
        <v/>
      </c>
      <c r="J320" s="137" t="str">
        <f t="shared" si="17"/>
        <v/>
      </c>
      <c r="K320" s="138" t="str">
        <f t="shared" si="18"/>
        <v/>
      </c>
      <c r="L320" s="138" t="str">
        <f t="shared" si="19"/>
        <v/>
      </c>
      <c r="M320" s="61"/>
      <c r="N320" s="61"/>
      <c r="O320" s="61"/>
      <c r="P320" s="61"/>
    </row>
    <row r="321" spans="1:16" ht="15" customHeight="1" x14ac:dyDescent="0.25">
      <c r="A321" s="61"/>
      <c r="B321" s="61"/>
      <c r="C321" s="61"/>
      <c r="D321" s="135"/>
      <c r="E321" s="64"/>
      <c r="F321" s="64"/>
      <c r="G321" s="64"/>
      <c r="H321" s="64"/>
      <c r="I321" s="137" t="str">
        <f t="shared" si="16"/>
        <v/>
      </c>
      <c r="J321" s="137" t="str">
        <f t="shared" si="17"/>
        <v/>
      </c>
      <c r="K321" s="138" t="str">
        <f t="shared" si="18"/>
        <v/>
      </c>
      <c r="L321" s="138" t="str">
        <f t="shared" si="19"/>
        <v/>
      </c>
      <c r="M321" s="61"/>
      <c r="N321" s="61"/>
      <c r="O321" s="61"/>
      <c r="P321" s="61"/>
    </row>
    <row r="322" spans="1:16" ht="15" customHeight="1" x14ac:dyDescent="0.25">
      <c r="A322" s="61"/>
      <c r="B322" s="61"/>
      <c r="C322" s="61"/>
      <c r="D322" s="135"/>
      <c r="E322" s="64"/>
      <c r="F322" s="64"/>
      <c r="G322" s="64"/>
      <c r="H322" s="64"/>
      <c r="I322" s="137" t="str">
        <f t="shared" si="16"/>
        <v/>
      </c>
      <c r="J322" s="137" t="str">
        <f t="shared" si="17"/>
        <v/>
      </c>
      <c r="K322" s="138" t="str">
        <f t="shared" si="18"/>
        <v/>
      </c>
      <c r="L322" s="138" t="str">
        <f t="shared" si="19"/>
        <v/>
      </c>
      <c r="M322" s="61"/>
      <c r="N322" s="61"/>
      <c r="O322" s="61"/>
      <c r="P322" s="61"/>
    </row>
    <row r="323" spans="1:16" ht="15" customHeight="1" x14ac:dyDescent="0.25">
      <c r="A323" s="61"/>
      <c r="B323" s="61"/>
      <c r="C323" s="61"/>
      <c r="D323" s="135"/>
      <c r="E323" s="64"/>
      <c r="F323" s="64"/>
      <c r="G323" s="64"/>
      <c r="H323" s="64"/>
      <c r="I323" s="137" t="str">
        <f t="shared" ref="I323:I386" si="20">IFERROR(IF(E323="","",E323*F323*H323/1000000),"")</f>
        <v/>
      </c>
      <c r="J323" s="137" t="str">
        <f t="shared" ref="J323:J386" si="21">IFERROR(IF(E323="","",(E323+F323)*H323/1000),"")</f>
        <v/>
      </c>
      <c r="K323" s="138" t="str">
        <f t="shared" ref="K323:K386" si="22">IFERROR(IF(D323="","",VLOOKUP(D323,Materials_Table,6,FALSE())),"")</f>
        <v/>
      </c>
      <c r="L323" s="138" t="str">
        <f t="shared" ref="L323:L386" si="23">IFERROR(IF(OR(I323="",K323=""),"",I323*K323),"")</f>
        <v/>
      </c>
      <c r="M323" s="61"/>
      <c r="N323" s="61"/>
      <c r="O323" s="61"/>
      <c r="P323" s="61"/>
    </row>
    <row r="324" spans="1:16" ht="15" customHeight="1" x14ac:dyDescent="0.25">
      <c r="A324" s="61"/>
      <c r="B324" s="61"/>
      <c r="C324" s="61"/>
      <c r="D324" s="135"/>
      <c r="E324" s="64"/>
      <c r="F324" s="64"/>
      <c r="G324" s="64"/>
      <c r="H324" s="64"/>
      <c r="I324" s="137" t="str">
        <f t="shared" si="20"/>
        <v/>
      </c>
      <c r="J324" s="137" t="str">
        <f t="shared" si="21"/>
        <v/>
      </c>
      <c r="K324" s="138" t="str">
        <f t="shared" si="22"/>
        <v/>
      </c>
      <c r="L324" s="138" t="str">
        <f t="shared" si="23"/>
        <v/>
      </c>
      <c r="M324" s="61"/>
      <c r="N324" s="61"/>
      <c r="O324" s="61"/>
      <c r="P324" s="61"/>
    </row>
    <row r="325" spans="1:16" ht="15" customHeight="1" x14ac:dyDescent="0.25">
      <c r="A325" s="61"/>
      <c r="B325" s="61"/>
      <c r="C325" s="61"/>
      <c r="D325" s="135"/>
      <c r="E325" s="64"/>
      <c r="F325" s="64"/>
      <c r="G325" s="64"/>
      <c r="H325" s="64"/>
      <c r="I325" s="137" t="str">
        <f t="shared" si="20"/>
        <v/>
      </c>
      <c r="J325" s="137" t="str">
        <f t="shared" si="21"/>
        <v/>
      </c>
      <c r="K325" s="138" t="str">
        <f t="shared" si="22"/>
        <v/>
      </c>
      <c r="L325" s="138" t="str">
        <f t="shared" si="23"/>
        <v/>
      </c>
      <c r="M325" s="61"/>
      <c r="N325" s="61"/>
      <c r="O325" s="61"/>
      <c r="P325" s="61"/>
    </row>
    <row r="326" spans="1:16" ht="15" customHeight="1" x14ac:dyDescent="0.25">
      <c r="A326" s="61"/>
      <c r="B326" s="61"/>
      <c r="C326" s="61"/>
      <c r="D326" s="135"/>
      <c r="E326" s="64"/>
      <c r="F326" s="64"/>
      <c r="G326" s="64"/>
      <c r="H326" s="64"/>
      <c r="I326" s="137" t="str">
        <f t="shared" si="20"/>
        <v/>
      </c>
      <c r="J326" s="137" t="str">
        <f t="shared" si="21"/>
        <v/>
      </c>
      <c r="K326" s="138" t="str">
        <f t="shared" si="22"/>
        <v/>
      </c>
      <c r="L326" s="138" t="str">
        <f t="shared" si="23"/>
        <v/>
      </c>
      <c r="M326" s="61"/>
      <c r="N326" s="61"/>
      <c r="O326" s="61"/>
      <c r="P326" s="61"/>
    </row>
    <row r="327" spans="1:16" ht="15" customHeight="1" x14ac:dyDescent="0.25">
      <c r="A327" s="61"/>
      <c r="B327" s="61"/>
      <c r="C327" s="61"/>
      <c r="D327" s="135"/>
      <c r="E327" s="64"/>
      <c r="F327" s="64"/>
      <c r="G327" s="64"/>
      <c r="H327" s="64"/>
      <c r="I327" s="137" t="str">
        <f t="shared" si="20"/>
        <v/>
      </c>
      <c r="J327" s="137" t="str">
        <f t="shared" si="21"/>
        <v/>
      </c>
      <c r="K327" s="138" t="str">
        <f t="shared" si="22"/>
        <v/>
      </c>
      <c r="L327" s="138" t="str">
        <f t="shared" si="23"/>
        <v/>
      </c>
      <c r="M327" s="61"/>
      <c r="N327" s="61"/>
      <c r="O327" s="61"/>
      <c r="P327" s="61"/>
    </row>
    <row r="328" spans="1:16" ht="15" customHeight="1" x14ac:dyDescent="0.25">
      <c r="A328" s="61"/>
      <c r="B328" s="61"/>
      <c r="C328" s="61"/>
      <c r="D328" s="135"/>
      <c r="E328" s="64"/>
      <c r="F328" s="64"/>
      <c r="G328" s="64"/>
      <c r="H328" s="64"/>
      <c r="I328" s="137" t="str">
        <f t="shared" si="20"/>
        <v/>
      </c>
      <c r="J328" s="137" t="str">
        <f t="shared" si="21"/>
        <v/>
      </c>
      <c r="K328" s="138" t="str">
        <f t="shared" si="22"/>
        <v/>
      </c>
      <c r="L328" s="138" t="str">
        <f t="shared" si="23"/>
        <v/>
      </c>
      <c r="M328" s="61"/>
      <c r="N328" s="61"/>
      <c r="O328" s="61"/>
      <c r="P328" s="61"/>
    </row>
    <row r="329" spans="1:16" ht="15" customHeight="1" x14ac:dyDescent="0.25">
      <c r="A329" s="61"/>
      <c r="B329" s="61"/>
      <c r="C329" s="61"/>
      <c r="D329" s="135"/>
      <c r="E329" s="64"/>
      <c r="F329" s="64"/>
      <c r="G329" s="64"/>
      <c r="H329" s="64"/>
      <c r="I329" s="137" t="str">
        <f t="shared" si="20"/>
        <v/>
      </c>
      <c r="J329" s="137" t="str">
        <f t="shared" si="21"/>
        <v/>
      </c>
      <c r="K329" s="138" t="str">
        <f t="shared" si="22"/>
        <v/>
      </c>
      <c r="L329" s="138" t="str">
        <f t="shared" si="23"/>
        <v/>
      </c>
      <c r="M329" s="61"/>
      <c r="N329" s="61"/>
      <c r="O329" s="61"/>
      <c r="P329" s="61"/>
    </row>
    <row r="330" spans="1:16" ht="15" customHeight="1" x14ac:dyDescent="0.25">
      <c r="A330" s="61"/>
      <c r="B330" s="61"/>
      <c r="C330" s="61"/>
      <c r="D330" s="135"/>
      <c r="E330" s="64"/>
      <c r="F330" s="64"/>
      <c r="G330" s="64"/>
      <c r="H330" s="64"/>
      <c r="I330" s="137" t="str">
        <f t="shared" si="20"/>
        <v/>
      </c>
      <c r="J330" s="137" t="str">
        <f t="shared" si="21"/>
        <v/>
      </c>
      <c r="K330" s="138" t="str">
        <f t="shared" si="22"/>
        <v/>
      </c>
      <c r="L330" s="138" t="str">
        <f t="shared" si="23"/>
        <v/>
      </c>
      <c r="M330" s="61"/>
      <c r="N330" s="61"/>
      <c r="O330" s="61"/>
      <c r="P330" s="61"/>
    </row>
    <row r="331" spans="1:16" ht="15" customHeight="1" x14ac:dyDescent="0.25">
      <c r="A331" s="61"/>
      <c r="B331" s="61"/>
      <c r="C331" s="61"/>
      <c r="D331" s="135"/>
      <c r="E331" s="64"/>
      <c r="F331" s="64"/>
      <c r="G331" s="64"/>
      <c r="H331" s="64"/>
      <c r="I331" s="137" t="str">
        <f t="shared" si="20"/>
        <v/>
      </c>
      <c r="J331" s="137" t="str">
        <f t="shared" si="21"/>
        <v/>
      </c>
      <c r="K331" s="138" t="str">
        <f t="shared" si="22"/>
        <v/>
      </c>
      <c r="L331" s="138" t="str">
        <f t="shared" si="23"/>
        <v/>
      </c>
      <c r="M331" s="61"/>
      <c r="N331" s="61"/>
      <c r="O331" s="61"/>
      <c r="P331" s="61"/>
    </row>
    <row r="332" spans="1:16" ht="15" customHeight="1" x14ac:dyDescent="0.25">
      <c r="A332" s="61"/>
      <c r="B332" s="61"/>
      <c r="C332" s="61"/>
      <c r="D332" s="135"/>
      <c r="E332" s="64"/>
      <c r="F332" s="64"/>
      <c r="G332" s="64"/>
      <c r="H332" s="64"/>
      <c r="I332" s="137" t="str">
        <f t="shared" si="20"/>
        <v/>
      </c>
      <c r="J332" s="137" t="str">
        <f t="shared" si="21"/>
        <v/>
      </c>
      <c r="K332" s="138" t="str">
        <f t="shared" si="22"/>
        <v/>
      </c>
      <c r="L332" s="138" t="str">
        <f t="shared" si="23"/>
        <v/>
      </c>
      <c r="M332" s="61"/>
      <c r="N332" s="61"/>
      <c r="O332" s="61"/>
      <c r="P332" s="61"/>
    </row>
    <row r="333" spans="1:16" ht="15" customHeight="1" x14ac:dyDescent="0.25">
      <c r="A333" s="61"/>
      <c r="B333" s="61"/>
      <c r="C333" s="61"/>
      <c r="D333" s="135"/>
      <c r="E333" s="64"/>
      <c r="F333" s="64"/>
      <c r="G333" s="64"/>
      <c r="H333" s="64"/>
      <c r="I333" s="137" t="str">
        <f t="shared" si="20"/>
        <v/>
      </c>
      <c r="J333" s="137" t="str">
        <f t="shared" si="21"/>
        <v/>
      </c>
      <c r="K333" s="138" t="str">
        <f t="shared" si="22"/>
        <v/>
      </c>
      <c r="L333" s="138" t="str">
        <f t="shared" si="23"/>
        <v/>
      </c>
      <c r="M333" s="61"/>
      <c r="N333" s="61"/>
      <c r="O333" s="61"/>
      <c r="P333" s="61"/>
    </row>
    <row r="334" spans="1:16" ht="15" customHeight="1" x14ac:dyDescent="0.25">
      <c r="A334" s="61"/>
      <c r="B334" s="61"/>
      <c r="C334" s="61"/>
      <c r="D334" s="135"/>
      <c r="E334" s="64"/>
      <c r="F334" s="64"/>
      <c r="G334" s="64"/>
      <c r="H334" s="64"/>
      <c r="I334" s="137" t="str">
        <f t="shared" si="20"/>
        <v/>
      </c>
      <c r="J334" s="137" t="str">
        <f t="shared" si="21"/>
        <v/>
      </c>
      <c r="K334" s="138" t="str">
        <f t="shared" si="22"/>
        <v/>
      </c>
      <c r="L334" s="138" t="str">
        <f t="shared" si="23"/>
        <v/>
      </c>
      <c r="M334" s="61"/>
      <c r="N334" s="61"/>
      <c r="O334" s="61"/>
      <c r="P334" s="61"/>
    </row>
    <row r="335" spans="1:16" ht="15" customHeight="1" x14ac:dyDescent="0.25">
      <c r="A335" s="61"/>
      <c r="B335" s="61"/>
      <c r="C335" s="61"/>
      <c r="D335" s="135"/>
      <c r="E335" s="64"/>
      <c r="F335" s="64"/>
      <c r="G335" s="64"/>
      <c r="H335" s="64"/>
      <c r="I335" s="137" t="str">
        <f t="shared" si="20"/>
        <v/>
      </c>
      <c r="J335" s="137" t="str">
        <f t="shared" si="21"/>
        <v/>
      </c>
      <c r="K335" s="138" t="str">
        <f t="shared" si="22"/>
        <v/>
      </c>
      <c r="L335" s="138" t="str">
        <f t="shared" si="23"/>
        <v/>
      </c>
      <c r="M335" s="61"/>
      <c r="N335" s="61"/>
      <c r="O335" s="61"/>
      <c r="P335" s="61"/>
    </row>
    <row r="336" spans="1:16" ht="15" customHeight="1" x14ac:dyDescent="0.25">
      <c r="A336" s="61"/>
      <c r="B336" s="61"/>
      <c r="C336" s="61"/>
      <c r="D336" s="135"/>
      <c r="E336" s="64"/>
      <c r="F336" s="64"/>
      <c r="G336" s="64"/>
      <c r="H336" s="64"/>
      <c r="I336" s="137" t="str">
        <f t="shared" si="20"/>
        <v/>
      </c>
      <c r="J336" s="137" t="str">
        <f t="shared" si="21"/>
        <v/>
      </c>
      <c r="K336" s="138" t="str">
        <f t="shared" si="22"/>
        <v/>
      </c>
      <c r="L336" s="138" t="str">
        <f t="shared" si="23"/>
        <v/>
      </c>
      <c r="M336" s="61"/>
      <c r="N336" s="61"/>
      <c r="O336" s="61"/>
      <c r="P336" s="61"/>
    </row>
    <row r="337" spans="1:16" ht="15" customHeight="1" x14ac:dyDescent="0.25">
      <c r="A337" s="61"/>
      <c r="B337" s="61"/>
      <c r="C337" s="61"/>
      <c r="D337" s="135"/>
      <c r="E337" s="64"/>
      <c r="F337" s="64"/>
      <c r="G337" s="64"/>
      <c r="H337" s="64"/>
      <c r="I337" s="137" t="str">
        <f t="shared" si="20"/>
        <v/>
      </c>
      <c r="J337" s="137" t="str">
        <f t="shared" si="21"/>
        <v/>
      </c>
      <c r="K337" s="138" t="str">
        <f t="shared" si="22"/>
        <v/>
      </c>
      <c r="L337" s="138" t="str">
        <f t="shared" si="23"/>
        <v/>
      </c>
      <c r="M337" s="61"/>
      <c r="N337" s="61"/>
      <c r="O337" s="61"/>
      <c r="P337" s="61"/>
    </row>
    <row r="338" spans="1:16" ht="15" customHeight="1" x14ac:dyDescent="0.25">
      <c r="A338" s="61"/>
      <c r="B338" s="61"/>
      <c r="C338" s="61"/>
      <c r="D338" s="135"/>
      <c r="E338" s="64"/>
      <c r="F338" s="64"/>
      <c r="G338" s="64"/>
      <c r="H338" s="64"/>
      <c r="I338" s="137" t="str">
        <f t="shared" si="20"/>
        <v/>
      </c>
      <c r="J338" s="137" t="str">
        <f t="shared" si="21"/>
        <v/>
      </c>
      <c r="K338" s="138" t="str">
        <f t="shared" si="22"/>
        <v/>
      </c>
      <c r="L338" s="138" t="str">
        <f t="shared" si="23"/>
        <v/>
      </c>
      <c r="M338" s="61"/>
      <c r="N338" s="61"/>
      <c r="O338" s="61"/>
      <c r="P338" s="61"/>
    </row>
    <row r="339" spans="1:16" ht="15" customHeight="1" x14ac:dyDescent="0.25">
      <c r="A339" s="61"/>
      <c r="B339" s="61"/>
      <c r="C339" s="61"/>
      <c r="D339" s="135"/>
      <c r="E339" s="64"/>
      <c r="F339" s="64"/>
      <c r="G339" s="64"/>
      <c r="H339" s="64"/>
      <c r="I339" s="137" t="str">
        <f t="shared" si="20"/>
        <v/>
      </c>
      <c r="J339" s="137" t="str">
        <f t="shared" si="21"/>
        <v/>
      </c>
      <c r="K339" s="138" t="str">
        <f t="shared" si="22"/>
        <v/>
      </c>
      <c r="L339" s="138" t="str">
        <f t="shared" si="23"/>
        <v/>
      </c>
      <c r="M339" s="61"/>
      <c r="N339" s="61"/>
      <c r="O339" s="61"/>
      <c r="P339" s="61"/>
    </row>
    <row r="340" spans="1:16" ht="15" customHeight="1" x14ac:dyDescent="0.25">
      <c r="A340" s="61"/>
      <c r="B340" s="61"/>
      <c r="C340" s="61"/>
      <c r="D340" s="135"/>
      <c r="E340" s="64"/>
      <c r="F340" s="64"/>
      <c r="G340" s="64"/>
      <c r="H340" s="64"/>
      <c r="I340" s="137" t="str">
        <f t="shared" si="20"/>
        <v/>
      </c>
      <c r="J340" s="137" t="str">
        <f t="shared" si="21"/>
        <v/>
      </c>
      <c r="K340" s="138" t="str">
        <f t="shared" si="22"/>
        <v/>
      </c>
      <c r="L340" s="138" t="str">
        <f t="shared" si="23"/>
        <v/>
      </c>
      <c r="M340" s="61"/>
      <c r="N340" s="61"/>
      <c r="O340" s="61"/>
      <c r="P340" s="61"/>
    </row>
    <row r="341" spans="1:16" ht="15" customHeight="1" x14ac:dyDescent="0.25">
      <c r="A341" s="61"/>
      <c r="B341" s="61"/>
      <c r="C341" s="61"/>
      <c r="D341" s="135"/>
      <c r="E341" s="64"/>
      <c r="F341" s="64"/>
      <c r="G341" s="64"/>
      <c r="H341" s="64"/>
      <c r="I341" s="137" t="str">
        <f t="shared" si="20"/>
        <v/>
      </c>
      <c r="J341" s="137" t="str">
        <f t="shared" si="21"/>
        <v/>
      </c>
      <c r="K341" s="138" t="str">
        <f t="shared" si="22"/>
        <v/>
      </c>
      <c r="L341" s="138" t="str">
        <f t="shared" si="23"/>
        <v/>
      </c>
      <c r="M341" s="61"/>
      <c r="N341" s="61"/>
      <c r="O341" s="61"/>
      <c r="P341" s="61"/>
    </row>
    <row r="342" spans="1:16" ht="15" customHeight="1" x14ac:dyDescent="0.25">
      <c r="A342" s="61"/>
      <c r="B342" s="61"/>
      <c r="C342" s="61"/>
      <c r="D342" s="135"/>
      <c r="E342" s="64"/>
      <c r="F342" s="64"/>
      <c r="G342" s="64"/>
      <c r="H342" s="64"/>
      <c r="I342" s="137" t="str">
        <f t="shared" si="20"/>
        <v/>
      </c>
      <c r="J342" s="137" t="str">
        <f t="shared" si="21"/>
        <v/>
      </c>
      <c r="K342" s="138" t="str">
        <f t="shared" si="22"/>
        <v/>
      </c>
      <c r="L342" s="138" t="str">
        <f t="shared" si="23"/>
        <v/>
      </c>
      <c r="M342" s="61"/>
      <c r="N342" s="61"/>
      <c r="O342" s="61"/>
      <c r="P342" s="61"/>
    </row>
    <row r="343" spans="1:16" ht="15" customHeight="1" x14ac:dyDescent="0.25">
      <c r="A343" s="61"/>
      <c r="B343" s="61"/>
      <c r="C343" s="61"/>
      <c r="D343" s="135"/>
      <c r="E343" s="64"/>
      <c r="F343" s="64"/>
      <c r="G343" s="64"/>
      <c r="H343" s="64"/>
      <c r="I343" s="137" t="str">
        <f t="shared" si="20"/>
        <v/>
      </c>
      <c r="J343" s="137" t="str">
        <f t="shared" si="21"/>
        <v/>
      </c>
      <c r="K343" s="138" t="str">
        <f t="shared" si="22"/>
        <v/>
      </c>
      <c r="L343" s="138" t="str">
        <f t="shared" si="23"/>
        <v/>
      </c>
      <c r="M343" s="61"/>
      <c r="N343" s="61"/>
      <c r="O343" s="61"/>
      <c r="P343" s="61"/>
    </row>
    <row r="344" spans="1:16" ht="15" customHeight="1" x14ac:dyDescent="0.25">
      <c r="A344" s="61"/>
      <c r="B344" s="61"/>
      <c r="C344" s="61"/>
      <c r="D344" s="135"/>
      <c r="E344" s="64"/>
      <c r="F344" s="64"/>
      <c r="G344" s="64"/>
      <c r="H344" s="64"/>
      <c r="I344" s="137" t="str">
        <f t="shared" si="20"/>
        <v/>
      </c>
      <c r="J344" s="137" t="str">
        <f t="shared" si="21"/>
        <v/>
      </c>
      <c r="K344" s="138" t="str">
        <f t="shared" si="22"/>
        <v/>
      </c>
      <c r="L344" s="138" t="str">
        <f t="shared" si="23"/>
        <v/>
      </c>
      <c r="M344" s="61"/>
      <c r="N344" s="61"/>
      <c r="O344" s="61"/>
      <c r="P344" s="61"/>
    </row>
    <row r="345" spans="1:16" ht="15" customHeight="1" x14ac:dyDescent="0.25">
      <c r="A345" s="61"/>
      <c r="B345" s="61"/>
      <c r="C345" s="61"/>
      <c r="D345" s="135"/>
      <c r="E345" s="64"/>
      <c r="F345" s="64"/>
      <c r="G345" s="64"/>
      <c r="H345" s="64"/>
      <c r="I345" s="137" t="str">
        <f t="shared" si="20"/>
        <v/>
      </c>
      <c r="J345" s="137" t="str">
        <f t="shared" si="21"/>
        <v/>
      </c>
      <c r="K345" s="138" t="str">
        <f t="shared" si="22"/>
        <v/>
      </c>
      <c r="L345" s="138" t="str">
        <f t="shared" si="23"/>
        <v/>
      </c>
      <c r="M345" s="61"/>
      <c r="N345" s="61"/>
      <c r="O345" s="61"/>
      <c r="P345" s="61"/>
    </row>
    <row r="346" spans="1:16" ht="15" customHeight="1" x14ac:dyDescent="0.25">
      <c r="A346" s="61"/>
      <c r="B346" s="61"/>
      <c r="C346" s="61"/>
      <c r="D346" s="135"/>
      <c r="E346" s="64"/>
      <c r="F346" s="64"/>
      <c r="G346" s="64"/>
      <c r="H346" s="64"/>
      <c r="I346" s="137" t="str">
        <f t="shared" si="20"/>
        <v/>
      </c>
      <c r="J346" s="137" t="str">
        <f t="shared" si="21"/>
        <v/>
      </c>
      <c r="K346" s="138" t="str">
        <f t="shared" si="22"/>
        <v/>
      </c>
      <c r="L346" s="138" t="str">
        <f t="shared" si="23"/>
        <v/>
      </c>
      <c r="M346" s="61"/>
      <c r="N346" s="61"/>
      <c r="O346" s="61"/>
      <c r="P346" s="61"/>
    </row>
    <row r="347" spans="1:16" ht="15" customHeight="1" x14ac:dyDescent="0.25">
      <c r="A347" s="61"/>
      <c r="B347" s="61"/>
      <c r="C347" s="61"/>
      <c r="D347" s="135"/>
      <c r="E347" s="64"/>
      <c r="F347" s="64"/>
      <c r="G347" s="64"/>
      <c r="H347" s="64"/>
      <c r="I347" s="137" t="str">
        <f t="shared" si="20"/>
        <v/>
      </c>
      <c r="J347" s="137" t="str">
        <f t="shared" si="21"/>
        <v/>
      </c>
      <c r="K347" s="138" t="str">
        <f t="shared" si="22"/>
        <v/>
      </c>
      <c r="L347" s="138" t="str">
        <f t="shared" si="23"/>
        <v/>
      </c>
      <c r="M347" s="61"/>
      <c r="N347" s="61"/>
      <c r="O347" s="61"/>
      <c r="P347" s="61"/>
    </row>
    <row r="348" spans="1:16" ht="15" customHeight="1" x14ac:dyDescent="0.25">
      <c r="A348" s="61"/>
      <c r="B348" s="61"/>
      <c r="C348" s="61"/>
      <c r="D348" s="135"/>
      <c r="E348" s="64"/>
      <c r="F348" s="64"/>
      <c r="G348" s="64"/>
      <c r="H348" s="64"/>
      <c r="I348" s="137" t="str">
        <f t="shared" si="20"/>
        <v/>
      </c>
      <c r="J348" s="137" t="str">
        <f t="shared" si="21"/>
        <v/>
      </c>
      <c r="K348" s="138" t="str">
        <f t="shared" si="22"/>
        <v/>
      </c>
      <c r="L348" s="138" t="str">
        <f t="shared" si="23"/>
        <v/>
      </c>
      <c r="M348" s="61"/>
      <c r="N348" s="61"/>
      <c r="O348" s="61"/>
      <c r="P348" s="61"/>
    </row>
    <row r="349" spans="1:16" ht="15" customHeight="1" x14ac:dyDescent="0.25">
      <c r="A349" s="61"/>
      <c r="B349" s="61"/>
      <c r="C349" s="61"/>
      <c r="D349" s="135"/>
      <c r="E349" s="64"/>
      <c r="F349" s="64"/>
      <c r="G349" s="64"/>
      <c r="H349" s="64"/>
      <c r="I349" s="137" t="str">
        <f t="shared" si="20"/>
        <v/>
      </c>
      <c r="J349" s="137" t="str">
        <f t="shared" si="21"/>
        <v/>
      </c>
      <c r="K349" s="138" t="str">
        <f t="shared" si="22"/>
        <v/>
      </c>
      <c r="L349" s="138" t="str">
        <f t="shared" si="23"/>
        <v/>
      </c>
      <c r="M349" s="61"/>
      <c r="N349" s="61"/>
      <c r="O349" s="61"/>
      <c r="P349" s="61"/>
    </row>
    <row r="350" spans="1:16" ht="15" customHeight="1" x14ac:dyDescent="0.25">
      <c r="A350" s="61"/>
      <c r="B350" s="61"/>
      <c r="C350" s="61"/>
      <c r="D350" s="135"/>
      <c r="E350" s="64"/>
      <c r="F350" s="64"/>
      <c r="G350" s="64"/>
      <c r="H350" s="64"/>
      <c r="I350" s="137" t="str">
        <f t="shared" si="20"/>
        <v/>
      </c>
      <c r="J350" s="137" t="str">
        <f t="shared" si="21"/>
        <v/>
      </c>
      <c r="K350" s="138" t="str">
        <f t="shared" si="22"/>
        <v/>
      </c>
      <c r="L350" s="138" t="str">
        <f t="shared" si="23"/>
        <v/>
      </c>
      <c r="M350" s="61"/>
      <c r="N350" s="61"/>
      <c r="O350" s="61"/>
      <c r="P350" s="61"/>
    </row>
    <row r="351" spans="1:16" ht="15" customHeight="1" x14ac:dyDescent="0.25">
      <c r="A351" s="61"/>
      <c r="B351" s="61"/>
      <c r="C351" s="61"/>
      <c r="D351" s="135"/>
      <c r="E351" s="64"/>
      <c r="F351" s="64"/>
      <c r="G351" s="64"/>
      <c r="H351" s="64"/>
      <c r="I351" s="137" t="str">
        <f t="shared" si="20"/>
        <v/>
      </c>
      <c r="J351" s="137" t="str">
        <f t="shared" si="21"/>
        <v/>
      </c>
      <c r="K351" s="138" t="str">
        <f t="shared" si="22"/>
        <v/>
      </c>
      <c r="L351" s="138" t="str">
        <f t="shared" si="23"/>
        <v/>
      </c>
      <c r="M351" s="61"/>
      <c r="N351" s="61"/>
      <c r="O351" s="61"/>
      <c r="P351" s="61"/>
    </row>
    <row r="352" spans="1:16" ht="15" customHeight="1" x14ac:dyDescent="0.25">
      <c r="A352" s="61"/>
      <c r="B352" s="61"/>
      <c r="C352" s="61"/>
      <c r="D352" s="135"/>
      <c r="E352" s="64"/>
      <c r="F352" s="64"/>
      <c r="G352" s="64"/>
      <c r="H352" s="64"/>
      <c r="I352" s="137" t="str">
        <f t="shared" si="20"/>
        <v/>
      </c>
      <c r="J352" s="137" t="str">
        <f t="shared" si="21"/>
        <v/>
      </c>
      <c r="K352" s="138" t="str">
        <f t="shared" si="22"/>
        <v/>
      </c>
      <c r="L352" s="138" t="str">
        <f t="shared" si="23"/>
        <v/>
      </c>
      <c r="M352" s="61"/>
      <c r="N352" s="61"/>
      <c r="O352" s="61"/>
      <c r="P352" s="61"/>
    </row>
    <row r="353" spans="1:16" ht="15" customHeight="1" x14ac:dyDescent="0.25">
      <c r="A353" s="61"/>
      <c r="B353" s="61"/>
      <c r="C353" s="61"/>
      <c r="D353" s="135"/>
      <c r="E353" s="64"/>
      <c r="F353" s="64"/>
      <c r="G353" s="64"/>
      <c r="H353" s="64"/>
      <c r="I353" s="137" t="str">
        <f t="shared" si="20"/>
        <v/>
      </c>
      <c r="J353" s="137" t="str">
        <f t="shared" si="21"/>
        <v/>
      </c>
      <c r="K353" s="138" t="str">
        <f t="shared" si="22"/>
        <v/>
      </c>
      <c r="L353" s="138" t="str">
        <f t="shared" si="23"/>
        <v/>
      </c>
      <c r="M353" s="61"/>
      <c r="N353" s="61"/>
      <c r="O353" s="61"/>
      <c r="P353" s="61"/>
    </row>
    <row r="354" spans="1:16" ht="15" customHeight="1" x14ac:dyDescent="0.25">
      <c r="A354" s="61"/>
      <c r="B354" s="61"/>
      <c r="C354" s="61"/>
      <c r="D354" s="135"/>
      <c r="E354" s="64"/>
      <c r="F354" s="64"/>
      <c r="G354" s="64"/>
      <c r="H354" s="64"/>
      <c r="I354" s="137" t="str">
        <f t="shared" si="20"/>
        <v/>
      </c>
      <c r="J354" s="137" t="str">
        <f t="shared" si="21"/>
        <v/>
      </c>
      <c r="K354" s="138" t="str">
        <f t="shared" si="22"/>
        <v/>
      </c>
      <c r="L354" s="138" t="str">
        <f t="shared" si="23"/>
        <v/>
      </c>
      <c r="M354" s="61"/>
      <c r="N354" s="61"/>
      <c r="O354" s="61"/>
      <c r="P354" s="61"/>
    </row>
    <row r="355" spans="1:16" ht="15" customHeight="1" x14ac:dyDescent="0.25">
      <c r="A355" s="61"/>
      <c r="B355" s="61"/>
      <c r="C355" s="61"/>
      <c r="D355" s="135"/>
      <c r="E355" s="64"/>
      <c r="F355" s="64"/>
      <c r="G355" s="64"/>
      <c r="H355" s="64"/>
      <c r="I355" s="137" t="str">
        <f t="shared" si="20"/>
        <v/>
      </c>
      <c r="J355" s="137" t="str">
        <f t="shared" si="21"/>
        <v/>
      </c>
      <c r="K355" s="138" t="str">
        <f t="shared" si="22"/>
        <v/>
      </c>
      <c r="L355" s="138" t="str">
        <f t="shared" si="23"/>
        <v/>
      </c>
      <c r="M355" s="61"/>
      <c r="N355" s="61"/>
      <c r="O355" s="61"/>
      <c r="P355" s="61"/>
    </row>
    <row r="356" spans="1:16" ht="15" customHeight="1" x14ac:dyDescent="0.25">
      <c r="A356" s="61"/>
      <c r="B356" s="61"/>
      <c r="C356" s="61"/>
      <c r="D356" s="135"/>
      <c r="E356" s="64"/>
      <c r="F356" s="64"/>
      <c r="G356" s="64"/>
      <c r="H356" s="64"/>
      <c r="I356" s="137" t="str">
        <f t="shared" si="20"/>
        <v/>
      </c>
      <c r="J356" s="137" t="str">
        <f t="shared" si="21"/>
        <v/>
      </c>
      <c r="K356" s="138" t="str">
        <f t="shared" si="22"/>
        <v/>
      </c>
      <c r="L356" s="138" t="str">
        <f t="shared" si="23"/>
        <v/>
      </c>
      <c r="M356" s="61"/>
      <c r="N356" s="61"/>
      <c r="O356" s="61"/>
      <c r="P356" s="61"/>
    </row>
    <row r="357" spans="1:16" ht="15" customHeight="1" x14ac:dyDescent="0.25">
      <c r="A357" s="61"/>
      <c r="B357" s="61"/>
      <c r="C357" s="61"/>
      <c r="D357" s="135"/>
      <c r="E357" s="64"/>
      <c r="F357" s="64"/>
      <c r="G357" s="64"/>
      <c r="H357" s="64"/>
      <c r="I357" s="137" t="str">
        <f t="shared" si="20"/>
        <v/>
      </c>
      <c r="J357" s="137" t="str">
        <f t="shared" si="21"/>
        <v/>
      </c>
      <c r="K357" s="138" t="str">
        <f t="shared" si="22"/>
        <v/>
      </c>
      <c r="L357" s="138" t="str">
        <f t="shared" si="23"/>
        <v/>
      </c>
      <c r="M357" s="61"/>
      <c r="N357" s="61"/>
      <c r="O357" s="61"/>
      <c r="P357" s="61"/>
    </row>
    <row r="358" spans="1:16" ht="15" customHeight="1" x14ac:dyDescent="0.25">
      <c r="A358" s="61"/>
      <c r="B358" s="61"/>
      <c r="C358" s="61"/>
      <c r="D358" s="135"/>
      <c r="E358" s="64"/>
      <c r="F358" s="64"/>
      <c r="G358" s="64"/>
      <c r="H358" s="64"/>
      <c r="I358" s="137" t="str">
        <f t="shared" si="20"/>
        <v/>
      </c>
      <c r="J358" s="137" t="str">
        <f t="shared" si="21"/>
        <v/>
      </c>
      <c r="K358" s="138" t="str">
        <f t="shared" si="22"/>
        <v/>
      </c>
      <c r="L358" s="138" t="str">
        <f t="shared" si="23"/>
        <v/>
      </c>
      <c r="M358" s="61"/>
      <c r="N358" s="61"/>
      <c r="O358" s="61"/>
      <c r="P358" s="61"/>
    </row>
    <row r="359" spans="1:16" ht="15" customHeight="1" x14ac:dyDescent="0.25">
      <c r="A359" s="61"/>
      <c r="B359" s="61"/>
      <c r="C359" s="61"/>
      <c r="D359" s="135"/>
      <c r="E359" s="64"/>
      <c r="F359" s="64"/>
      <c r="G359" s="64"/>
      <c r="H359" s="64"/>
      <c r="I359" s="137" t="str">
        <f t="shared" si="20"/>
        <v/>
      </c>
      <c r="J359" s="137" t="str">
        <f t="shared" si="21"/>
        <v/>
      </c>
      <c r="K359" s="138" t="str">
        <f t="shared" si="22"/>
        <v/>
      </c>
      <c r="L359" s="138" t="str">
        <f t="shared" si="23"/>
        <v/>
      </c>
      <c r="M359" s="61"/>
      <c r="N359" s="61"/>
      <c r="O359" s="61"/>
      <c r="P359" s="61"/>
    </row>
    <row r="360" spans="1:16" ht="15" customHeight="1" x14ac:dyDescent="0.25">
      <c r="A360" s="61"/>
      <c r="B360" s="61"/>
      <c r="C360" s="61"/>
      <c r="D360" s="135"/>
      <c r="E360" s="64"/>
      <c r="F360" s="64"/>
      <c r="G360" s="64"/>
      <c r="H360" s="64"/>
      <c r="I360" s="137" t="str">
        <f t="shared" si="20"/>
        <v/>
      </c>
      <c r="J360" s="137" t="str">
        <f t="shared" si="21"/>
        <v/>
      </c>
      <c r="K360" s="138" t="str">
        <f t="shared" si="22"/>
        <v/>
      </c>
      <c r="L360" s="138" t="str">
        <f t="shared" si="23"/>
        <v/>
      </c>
      <c r="M360" s="61"/>
      <c r="N360" s="61"/>
      <c r="O360" s="61"/>
      <c r="P360" s="61"/>
    </row>
    <row r="361" spans="1:16" ht="15" customHeight="1" x14ac:dyDescent="0.25">
      <c r="A361" s="61"/>
      <c r="B361" s="61"/>
      <c r="C361" s="61"/>
      <c r="D361" s="135"/>
      <c r="E361" s="64"/>
      <c r="F361" s="64"/>
      <c r="G361" s="64"/>
      <c r="H361" s="64"/>
      <c r="I361" s="137" t="str">
        <f t="shared" si="20"/>
        <v/>
      </c>
      <c r="J361" s="137" t="str">
        <f t="shared" si="21"/>
        <v/>
      </c>
      <c r="K361" s="138" t="str">
        <f t="shared" si="22"/>
        <v/>
      </c>
      <c r="L361" s="138" t="str">
        <f t="shared" si="23"/>
        <v/>
      </c>
      <c r="M361" s="61"/>
      <c r="N361" s="61"/>
      <c r="O361" s="61"/>
      <c r="P361" s="61"/>
    </row>
    <row r="362" spans="1:16" ht="15" customHeight="1" x14ac:dyDescent="0.25">
      <c r="A362" s="61"/>
      <c r="B362" s="61"/>
      <c r="C362" s="61"/>
      <c r="D362" s="135"/>
      <c r="E362" s="64"/>
      <c r="F362" s="64"/>
      <c r="G362" s="64"/>
      <c r="H362" s="64"/>
      <c r="I362" s="137" t="str">
        <f t="shared" si="20"/>
        <v/>
      </c>
      <c r="J362" s="137" t="str">
        <f t="shared" si="21"/>
        <v/>
      </c>
      <c r="K362" s="138" t="str">
        <f t="shared" si="22"/>
        <v/>
      </c>
      <c r="L362" s="138" t="str">
        <f t="shared" si="23"/>
        <v/>
      </c>
      <c r="M362" s="61"/>
      <c r="N362" s="61"/>
      <c r="O362" s="61"/>
      <c r="P362" s="61"/>
    </row>
    <row r="363" spans="1:16" ht="15" customHeight="1" x14ac:dyDescent="0.25">
      <c r="A363" s="61"/>
      <c r="B363" s="61"/>
      <c r="C363" s="61"/>
      <c r="D363" s="135"/>
      <c r="E363" s="64"/>
      <c r="F363" s="64"/>
      <c r="G363" s="64"/>
      <c r="H363" s="64"/>
      <c r="I363" s="137" t="str">
        <f t="shared" si="20"/>
        <v/>
      </c>
      <c r="J363" s="137" t="str">
        <f t="shared" si="21"/>
        <v/>
      </c>
      <c r="K363" s="138" t="str">
        <f t="shared" si="22"/>
        <v/>
      </c>
      <c r="L363" s="138" t="str">
        <f t="shared" si="23"/>
        <v/>
      </c>
      <c r="M363" s="61"/>
      <c r="N363" s="61"/>
      <c r="O363" s="61"/>
      <c r="P363" s="61"/>
    </row>
    <row r="364" spans="1:16" ht="15" customHeight="1" x14ac:dyDescent="0.25">
      <c r="A364" s="61"/>
      <c r="B364" s="61"/>
      <c r="C364" s="61"/>
      <c r="D364" s="135"/>
      <c r="E364" s="64"/>
      <c r="F364" s="64"/>
      <c r="G364" s="64"/>
      <c r="H364" s="64"/>
      <c r="I364" s="137" t="str">
        <f t="shared" si="20"/>
        <v/>
      </c>
      <c r="J364" s="137" t="str">
        <f t="shared" si="21"/>
        <v/>
      </c>
      <c r="K364" s="138" t="str">
        <f t="shared" si="22"/>
        <v/>
      </c>
      <c r="L364" s="138" t="str">
        <f t="shared" si="23"/>
        <v/>
      </c>
      <c r="M364" s="61"/>
      <c r="N364" s="61"/>
      <c r="O364" s="61"/>
      <c r="P364" s="61"/>
    </row>
    <row r="365" spans="1:16" ht="15" customHeight="1" x14ac:dyDescent="0.25">
      <c r="A365" s="61"/>
      <c r="B365" s="61"/>
      <c r="C365" s="61"/>
      <c r="D365" s="135"/>
      <c r="E365" s="64"/>
      <c r="F365" s="64"/>
      <c r="G365" s="64"/>
      <c r="H365" s="64"/>
      <c r="I365" s="137" t="str">
        <f t="shared" si="20"/>
        <v/>
      </c>
      <c r="J365" s="137" t="str">
        <f t="shared" si="21"/>
        <v/>
      </c>
      <c r="K365" s="138" t="str">
        <f t="shared" si="22"/>
        <v/>
      </c>
      <c r="L365" s="138" t="str">
        <f t="shared" si="23"/>
        <v/>
      </c>
      <c r="M365" s="61"/>
      <c r="N365" s="61"/>
      <c r="O365" s="61"/>
      <c r="P365" s="61"/>
    </row>
    <row r="366" spans="1:16" ht="15" customHeight="1" x14ac:dyDescent="0.25">
      <c r="A366" s="61"/>
      <c r="B366" s="61"/>
      <c r="C366" s="61"/>
      <c r="D366" s="135"/>
      <c r="E366" s="64"/>
      <c r="F366" s="64"/>
      <c r="G366" s="64"/>
      <c r="H366" s="64"/>
      <c r="I366" s="137" t="str">
        <f t="shared" si="20"/>
        <v/>
      </c>
      <c r="J366" s="137" t="str">
        <f t="shared" si="21"/>
        <v/>
      </c>
      <c r="K366" s="138" t="str">
        <f t="shared" si="22"/>
        <v/>
      </c>
      <c r="L366" s="138" t="str">
        <f t="shared" si="23"/>
        <v/>
      </c>
      <c r="M366" s="61"/>
      <c r="N366" s="61"/>
      <c r="O366" s="61"/>
      <c r="P366" s="61"/>
    </row>
    <row r="367" spans="1:16" ht="15" customHeight="1" x14ac:dyDescent="0.25">
      <c r="A367" s="61"/>
      <c r="B367" s="61"/>
      <c r="C367" s="61"/>
      <c r="D367" s="135"/>
      <c r="E367" s="64"/>
      <c r="F367" s="64"/>
      <c r="G367" s="64"/>
      <c r="H367" s="64"/>
      <c r="I367" s="137" t="str">
        <f t="shared" si="20"/>
        <v/>
      </c>
      <c r="J367" s="137" t="str">
        <f t="shared" si="21"/>
        <v/>
      </c>
      <c r="K367" s="138" t="str">
        <f t="shared" si="22"/>
        <v/>
      </c>
      <c r="L367" s="138" t="str">
        <f t="shared" si="23"/>
        <v/>
      </c>
      <c r="M367" s="61"/>
      <c r="N367" s="61"/>
      <c r="O367" s="61"/>
      <c r="P367" s="61"/>
    </row>
    <row r="368" spans="1:16" ht="15" customHeight="1" x14ac:dyDescent="0.25">
      <c r="A368" s="61"/>
      <c r="B368" s="61"/>
      <c r="C368" s="61"/>
      <c r="D368" s="135"/>
      <c r="E368" s="64"/>
      <c r="F368" s="64"/>
      <c r="G368" s="64"/>
      <c r="H368" s="64"/>
      <c r="I368" s="137" t="str">
        <f t="shared" si="20"/>
        <v/>
      </c>
      <c r="J368" s="137" t="str">
        <f t="shared" si="21"/>
        <v/>
      </c>
      <c r="K368" s="138" t="str">
        <f t="shared" si="22"/>
        <v/>
      </c>
      <c r="L368" s="138" t="str">
        <f t="shared" si="23"/>
        <v/>
      </c>
      <c r="M368" s="61"/>
      <c r="N368" s="61"/>
      <c r="O368" s="61"/>
      <c r="P368" s="61"/>
    </row>
    <row r="369" spans="1:16" ht="15" customHeight="1" x14ac:dyDescent="0.25">
      <c r="A369" s="61"/>
      <c r="B369" s="61"/>
      <c r="C369" s="61"/>
      <c r="D369" s="135"/>
      <c r="E369" s="64"/>
      <c r="F369" s="64"/>
      <c r="G369" s="64"/>
      <c r="H369" s="64"/>
      <c r="I369" s="137" t="str">
        <f t="shared" si="20"/>
        <v/>
      </c>
      <c r="J369" s="137" t="str">
        <f t="shared" si="21"/>
        <v/>
      </c>
      <c r="K369" s="138" t="str">
        <f t="shared" si="22"/>
        <v/>
      </c>
      <c r="L369" s="138" t="str">
        <f t="shared" si="23"/>
        <v/>
      </c>
      <c r="M369" s="61"/>
      <c r="N369" s="61"/>
      <c r="O369" s="61"/>
      <c r="P369" s="61"/>
    </row>
    <row r="370" spans="1:16" ht="15" customHeight="1" x14ac:dyDescent="0.25">
      <c r="A370" s="61"/>
      <c r="B370" s="61"/>
      <c r="C370" s="61"/>
      <c r="D370" s="135"/>
      <c r="E370" s="64"/>
      <c r="F370" s="64"/>
      <c r="G370" s="64"/>
      <c r="H370" s="64"/>
      <c r="I370" s="137" t="str">
        <f t="shared" si="20"/>
        <v/>
      </c>
      <c r="J370" s="137" t="str">
        <f t="shared" si="21"/>
        <v/>
      </c>
      <c r="K370" s="138" t="str">
        <f t="shared" si="22"/>
        <v/>
      </c>
      <c r="L370" s="138" t="str">
        <f t="shared" si="23"/>
        <v/>
      </c>
      <c r="M370" s="61"/>
      <c r="N370" s="61"/>
      <c r="O370" s="61"/>
      <c r="P370" s="61"/>
    </row>
    <row r="371" spans="1:16" ht="15" customHeight="1" x14ac:dyDescent="0.25">
      <c r="A371" s="61"/>
      <c r="B371" s="61"/>
      <c r="C371" s="61"/>
      <c r="D371" s="135"/>
      <c r="E371" s="64"/>
      <c r="F371" s="64"/>
      <c r="G371" s="64"/>
      <c r="H371" s="64"/>
      <c r="I371" s="137" t="str">
        <f t="shared" si="20"/>
        <v/>
      </c>
      <c r="J371" s="137" t="str">
        <f t="shared" si="21"/>
        <v/>
      </c>
      <c r="K371" s="138" t="str">
        <f t="shared" si="22"/>
        <v/>
      </c>
      <c r="L371" s="138" t="str">
        <f t="shared" si="23"/>
        <v/>
      </c>
      <c r="M371" s="61"/>
      <c r="N371" s="61"/>
      <c r="O371" s="61"/>
      <c r="P371" s="61"/>
    </row>
    <row r="372" spans="1:16" ht="15" customHeight="1" x14ac:dyDescent="0.25">
      <c r="A372" s="61"/>
      <c r="B372" s="61"/>
      <c r="C372" s="61"/>
      <c r="D372" s="135"/>
      <c r="E372" s="64"/>
      <c r="F372" s="64"/>
      <c r="G372" s="64"/>
      <c r="H372" s="64"/>
      <c r="I372" s="137" t="str">
        <f t="shared" si="20"/>
        <v/>
      </c>
      <c r="J372" s="137" t="str">
        <f t="shared" si="21"/>
        <v/>
      </c>
      <c r="K372" s="138" t="str">
        <f t="shared" si="22"/>
        <v/>
      </c>
      <c r="L372" s="138" t="str">
        <f t="shared" si="23"/>
        <v/>
      </c>
      <c r="M372" s="61"/>
      <c r="N372" s="61"/>
      <c r="O372" s="61"/>
      <c r="P372" s="61"/>
    </row>
    <row r="373" spans="1:16" ht="15" customHeight="1" x14ac:dyDescent="0.25">
      <c r="A373" s="61"/>
      <c r="B373" s="61"/>
      <c r="C373" s="61"/>
      <c r="D373" s="135"/>
      <c r="E373" s="64"/>
      <c r="F373" s="64"/>
      <c r="G373" s="64"/>
      <c r="H373" s="64"/>
      <c r="I373" s="137" t="str">
        <f t="shared" si="20"/>
        <v/>
      </c>
      <c r="J373" s="137" t="str">
        <f t="shared" si="21"/>
        <v/>
      </c>
      <c r="K373" s="138" t="str">
        <f t="shared" si="22"/>
        <v/>
      </c>
      <c r="L373" s="138" t="str">
        <f t="shared" si="23"/>
        <v/>
      </c>
      <c r="M373" s="61"/>
      <c r="N373" s="61"/>
      <c r="O373" s="61"/>
      <c r="P373" s="61"/>
    </row>
    <row r="374" spans="1:16" ht="15" customHeight="1" x14ac:dyDescent="0.25">
      <c r="A374" s="61"/>
      <c r="B374" s="61"/>
      <c r="C374" s="61"/>
      <c r="D374" s="135"/>
      <c r="E374" s="64"/>
      <c r="F374" s="64"/>
      <c r="G374" s="64"/>
      <c r="H374" s="64"/>
      <c r="I374" s="137" t="str">
        <f t="shared" si="20"/>
        <v/>
      </c>
      <c r="J374" s="137" t="str">
        <f t="shared" si="21"/>
        <v/>
      </c>
      <c r="K374" s="138" t="str">
        <f t="shared" si="22"/>
        <v/>
      </c>
      <c r="L374" s="138" t="str">
        <f t="shared" si="23"/>
        <v/>
      </c>
      <c r="M374" s="61"/>
      <c r="N374" s="61"/>
      <c r="O374" s="61"/>
      <c r="P374" s="61"/>
    </row>
    <row r="375" spans="1:16" ht="15" customHeight="1" x14ac:dyDescent="0.25">
      <c r="A375" s="61"/>
      <c r="B375" s="61"/>
      <c r="C375" s="61"/>
      <c r="D375" s="135"/>
      <c r="E375" s="64"/>
      <c r="F375" s="64"/>
      <c r="G375" s="64"/>
      <c r="H375" s="64"/>
      <c r="I375" s="137" t="str">
        <f t="shared" si="20"/>
        <v/>
      </c>
      <c r="J375" s="137" t="str">
        <f t="shared" si="21"/>
        <v/>
      </c>
      <c r="K375" s="138" t="str">
        <f t="shared" si="22"/>
        <v/>
      </c>
      <c r="L375" s="138" t="str">
        <f t="shared" si="23"/>
        <v/>
      </c>
      <c r="M375" s="61"/>
      <c r="N375" s="61"/>
      <c r="O375" s="61"/>
      <c r="P375" s="61"/>
    </row>
    <row r="376" spans="1:16" ht="15" customHeight="1" x14ac:dyDescent="0.25">
      <c r="A376" s="61"/>
      <c r="B376" s="61"/>
      <c r="C376" s="61"/>
      <c r="D376" s="135"/>
      <c r="E376" s="64"/>
      <c r="F376" s="64"/>
      <c r="G376" s="64"/>
      <c r="H376" s="64"/>
      <c r="I376" s="137" t="str">
        <f t="shared" si="20"/>
        <v/>
      </c>
      <c r="J376" s="137" t="str">
        <f t="shared" si="21"/>
        <v/>
      </c>
      <c r="K376" s="138" t="str">
        <f t="shared" si="22"/>
        <v/>
      </c>
      <c r="L376" s="138" t="str">
        <f t="shared" si="23"/>
        <v/>
      </c>
      <c r="M376" s="61"/>
      <c r="N376" s="61"/>
      <c r="O376" s="61"/>
      <c r="P376" s="61"/>
    </row>
    <row r="377" spans="1:16" ht="15" customHeight="1" x14ac:dyDescent="0.25">
      <c r="A377" s="61"/>
      <c r="B377" s="61"/>
      <c r="C377" s="61"/>
      <c r="D377" s="135"/>
      <c r="E377" s="64"/>
      <c r="F377" s="64"/>
      <c r="G377" s="64"/>
      <c r="H377" s="64"/>
      <c r="I377" s="137" t="str">
        <f t="shared" si="20"/>
        <v/>
      </c>
      <c r="J377" s="137" t="str">
        <f t="shared" si="21"/>
        <v/>
      </c>
      <c r="K377" s="138" t="str">
        <f t="shared" si="22"/>
        <v/>
      </c>
      <c r="L377" s="138" t="str">
        <f t="shared" si="23"/>
        <v/>
      </c>
      <c r="M377" s="61"/>
      <c r="N377" s="61"/>
      <c r="O377" s="61"/>
      <c r="P377" s="61"/>
    </row>
    <row r="378" spans="1:16" ht="15" customHeight="1" x14ac:dyDescent="0.25">
      <c r="A378" s="61"/>
      <c r="B378" s="61"/>
      <c r="C378" s="61"/>
      <c r="D378" s="135"/>
      <c r="E378" s="64"/>
      <c r="F378" s="64"/>
      <c r="G378" s="64"/>
      <c r="H378" s="64"/>
      <c r="I378" s="137" t="str">
        <f t="shared" si="20"/>
        <v/>
      </c>
      <c r="J378" s="137" t="str">
        <f t="shared" si="21"/>
        <v/>
      </c>
      <c r="K378" s="138" t="str">
        <f t="shared" si="22"/>
        <v/>
      </c>
      <c r="L378" s="138" t="str">
        <f t="shared" si="23"/>
        <v/>
      </c>
      <c r="M378" s="61"/>
      <c r="N378" s="61"/>
      <c r="O378" s="61"/>
      <c r="P378" s="61"/>
    </row>
    <row r="379" spans="1:16" ht="15" customHeight="1" x14ac:dyDescent="0.25">
      <c r="A379" s="61"/>
      <c r="B379" s="61"/>
      <c r="C379" s="61"/>
      <c r="D379" s="135"/>
      <c r="E379" s="64"/>
      <c r="F379" s="64"/>
      <c r="G379" s="64"/>
      <c r="H379" s="64"/>
      <c r="I379" s="137" t="str">
        <f t="shared" si="20"/>
        <v/>
      </c>
      <c r="J379" s="137" t="str">
        <f t="shared" si="21"/>
        <v/>
      </c>
      <c r="K379" s="138" t="str">
        <f t="shared" si="22"/>
        <v/>
      </c>
      <c r="L379" s="138" t="str">
        <f t="shared" si="23"/>
        <v/>
      </c>
      <c r="M379" s="61"/>
      <c r="N379" s="61"/>
      <c r="O379" s="61"/>
      <c r="P379" s="61"/>
    </row>
    <row r="380" spans="1:16" ht="15" customHeight="1" x14ac:dyDescent="0.25">
      <c r="A380" s="61"/>
      <c r="B380" s="61"/>
      <c r="C380" s="61"/>
      <c r="D380" s="135"/>
      <c r="E380" s="64"/>
      <c r="F380" s="64"/>
      <c r="G380" s="64"/>
      <c r="H380" s="64"/>
      <c r="I380" s="137" t="str">
        <f t="shared" si="20"/>
        <v/>
      </c>
      <c r="J380" s="137" t="str">
        <f t="shared" si="21"/>
        <v/>
      </c>
      <c r="K380" s="138" t="str">
        <f t="shared" si="22"/>
        <v/>
      </c>
      <c r="L380" s="138" t="str">
        <f t="shared" si="23"/>
        <v/>
      </c>
      <c r="M380" s="61"/>
      <c r="N380" s="61"/>
      <c r="O380" s="61"/>
      <c r="P380" s="61"/>
    </row>
    <row r="381" spans="1:16" ht="15" customHeight="1" x14ac:dyDescent="0.25">
      <c r="A381" s="61"/>
      <c r="B381" s="61"/>
      <c r="C381" s="61"/>
      <c r="D381" s="135"/>
      <c r="E381" s="64"/>
      <c r="F381" s="64"/>
      <c r="G381" s="64"/>
      <c r="H381" s="64"/>
      <c r="I381" s="137" t="str">
        <f t="shared" si="20"/>
        <v/>
      </c>
      <c r="J381" s="137" t="str">
        <f t="shared" si="21"/>
        <v/>
      </c>
      <c r="K381" s="138" t="str">
        <f t="shared" si="22"/>
        <v/>
      </c>
      <c r="L381" s="138" t="str">
        <f t="shared" si="23"/>
        <v/>
      </c>
      <c r="M381" s="61"/>
      <c r="N381" s="61"/>
      <c r="O381" s="61"/>
      <c r="P381" s="61"/>
    </row>
    <row r="382" spans="1:16" ht="15" customHeight="1" x14ac:dyDescent="0.25">
      <c r="A382" s="61"/>
      <c r="B382" s="61"/>
      <c r="C382" s="61"/>
      <c r="D382" s="135"/>
      <c r="E382" s="64"/>
      <c r="F382" s="64"/>
      <c r="G382" s="64"/>
      <c r="H382" s="64"/>
      <c r="I382" s="137" t="str">
        <f t="shared" si="20"/>
        <v/>
      </c>
      <c r="J382" s="137" t="str">
        <f t="shared" si="21"/>
        <v/>
      </c>
      <c r="K382" s="138" t="str">
        <f t="shared" si="22"/>
        <v/>
      </c>
      <c r="L382" s="138" t="str">
        <f t="shared" si="23"/>
        <v/>
      </c>
      <c r="M382" s="61"/>
      <c r="N382" s="61"/>
      <c r="O382" s="61"/>
      <c r="P382" s="61"/>
    </row>
    <row r="383" spans="1:16" ht="15" customHeight="1" x14ac:dyDescent="0.25">
      <c r="A383" s="61"/>
      <c r="B383" s="61"/>
      <c r="C383" s="61"/>
      <c r="D383" s="135"/>
      <c r="E383" s="64"/>
      <c r="F383" s="64"/>
      <c r="G383" s="64"/>
      <c r="H383" s="64"/>
      <c r="I383" s="137" t="str">
        <f t="shared" si="20"/>
        <v/>
      </c>
      <c r="J383" s="137" t="str">
        <f t="shared" si="21"/>
        <v/>
      </c>
      <c r="K383" s="138" t="str">
        <f t="shared" si="22"/>
        <v/>
      </c>
      <c r="L383" s="138" t="str">
        <f t="shared" si="23"/>
        <v/>
      </c>
      <c r="M383" s="61"/>
      <c r="N383" s="61"/>
      <c r="O383" s="61"/>
      <c r="P383" s="61"/>
    </row>
    <row r="384" spans="1:16" ht="15" customHeight="1" x14ac:dyDescent="0.25">
      <c r="A384" s="61"/>
      <c r="B384" s="61"/>
      <c r="C384" s="61"/>
      <c r="D384" s="135"/>
      <c r="E384" s="64"/>
      <c r="F384" s="64"/>
      <c r="G384" s="64"/>
      <c r="H384" s="64"/>
      <c r="I384" s="137" t="str">
        <f t="shared" si="20"/>
        <v/>
      </c>
      <c r="J384" s="137" t="str">
        <f t="shared" si="21"/>
        <v/>
      </c>
      <c r="K384" s="138" t="str">
        <f t="shared" si="22"/>
        <v/>
      </c>
      <c r="L384" s="138" t="str">
        <f t="shared" si="23"/>
        <v/>
      </c>
      <c r="M384" s="61"/>
      <c r="N384" s="61"/>
      <c r="O384" s="61"/>
      <c r="P384" s="61"/>
    </row>
    <row r="385" spans="1:16" ht="15" customHeight="1" x14ac:dyDescent="0.25">
      <c r="A385" s="61"/>
      <c r="B385" s="61"/>
      <c r="C385" s="61"/>
      <c r="D385" s="135"/>
      <c r="E385" s="64"/>
      <c r="F385" s="64"/>
      <c r="G385" s="64"/>
      <c r="H385" s="64"/>
      <c r="I385" s="137" t="str">
        <f t="shared" si="20"/>
        <v/>
      </c>
      <c r="J385" s="137" t="str">
        <f t="shared" si="21"/>
        <v/>
      </c>
      <c r="K385" s="138" t="str">
        <f t="shared" si="22"/>
        <v/>
      </c>
      <c r="L385" s="138" t="str">
        <f t="shared" si="23"/>
        <v/>
      </c>
      <c r="M385" s="61"/>
      <c r="N385" s="61"/>
      <c r="O385" s="61"/>
      <c r="P385" s="61"/>
    </row>
    <row r="386" spans="1:16" ht="15" customHeight="1" x14ac:dyDescent="0.25">
      <c r="A386" s="61"/>
      <c r="B386" s="61"/>
      <c r="C386" s="61"/>
      <c r="D386" s="135"/>
      <c r="E386" s="64"/>
      <c r="F386" s="64"/>
      <c r="G386" s="64"/>
      <c r="H386" s="64"/>
      <c r="I386" s="137" t="str">
        <f t="shared" si="20"/>
        <v/>
      </c>
      <c r="J386" s="137" t="str">
        <f t="shared" si="21"/>
        <v/>
      </c>
      <c r="K386" s="138" t="str">
        <f t="shared" si="22"/>
        <v/>
      </c>
      <c r="L386" s="138" t="str">
        <f t="shared" si="23"/>
        <v/>
      </c>
      <c r="M386" s="61"/>
      <c r="N386" s="61"/>
      <c r="O386" s="61"/>
      <c r="P386" s="61"/>
    </row>
    <row r="387" spans="1:16" ht="15" customHeight="1" x14ac:dyDescent="0.25">
      <c r="A387" s="61"/>
      <c r="B387" s="61"/>
      <c r="C387" s="61"/>
      <c r="D387" s="135"/>
      <c r="E387" s="64"/>
      <c r="F387" s="64"/>
      <c r="G387" s="64"/>
      <c r="H387" s="64"/>
      <c r="I387" s="137" t="str">
        <f t="shared" ref="I387:I450" si="24">IFERROR(IF(E387="","",E387*F387*H387/1000000),"")</f>
        <v/>
      </c>
      <c r="J387" s="137" t="str">
        <f t="shared" ref="J387:J450" si="25">IFERROR(IF(E387="","",(E387+F387)*H387/1000),"")</f>
        <v/>
      </c>
      <c r="K387" s="138" t="str">
        <f t="shared" ref="K387:K450" si="26">IFERROR(IF(D387="","",VLOOKUP(D387,Materials_Table,6,FALSE())),"")</f>
        <v/>
      </c>
      <c r="L387" s="138" t="str">
        <f t="shared" ref="L387:L450" si="27">IFERROR(IF(OR(I387="",K387=""),"",I387*K387),"")</f>
        <v/>
      </c>
      <c r="M387" s="61"/>
      <c r="N387" s="61"/>
      <c r="O387" s="61"/>
      <c r="P387" s="61"/>
    </row>
    <row r="388" spans="1:16" ht="15" customHeight="1" x14ac:dyDescent="0.25">
      <c r="A388" s="61"/>
      <c r="B388" s="61"/>
      <c r="C388" s="61"/>
      <c r="D388" s="135"/>
      <c r="E388" s="64"/>
      <c r="F388" s="64"/>
      <c r="G388" s="64"/>
      <c r="H388" s="64"/>
      <c r="I388" s="137" t="str">
        <f t="shared" si="24"/>
        <v/>
      </c>
      <c r="J388" s="137" t="str">
        <f t="shared" si="25"/>
        <v/>
      </c>
      <c r="K388" s="138" t="str">
        <f t="shared" si="26"/>
        <v/>
      </c>
      <c r="L388" s="138" t="str">
        <f t="shared" si="27"/>
        <v/>
      </c>
      <c r="M388" s="61"/>
      <c r="N388" s="61"/>
      <c r="O388" s="61"/>
      <c r="P388" s="61"/>
    </row>
    <row r="389" spans="1:16" ht="15" customHeight="1" x14ac:dyDescent="0.25">
      <c r="A389" s="61"/>
      <c r="B389" s="61"/>
      <c r="C389" s="61"/>
      <c r="D389" s="135"/>
      <c r="E389" s="64"/>
      <c r="F389" s="64"/>
      <c r="G389" s="64"/>
      <c r="H389" s="64"/>
      <c r="I389" s="137" t="str">
        <f t="shared" si="24"/>
        <v/>
      </c>
      <c r="J389" s="137" t="str">
        <f t="shared" si="25"/>
        <v/>
      </c>
      <c r="K389" s="138" t="str">
        <f t="shared" si="26"/>
        <v/>
      </c>
      <c r="L389" s="138" t="str">
        <f t="shared" si="27"/>
        <v/>
      </c>
      <c r="M389" s="61"/>
      <c r="N389" s="61"/>
      <c r="O389" s="61"/>
      <c r="P389" s="61"/>
    </row>
    <row r="390" spans="1:16" ht="15" customHeight="1" x14ac:dyDescent="0.25">
      <c r="A390" s="61"/>
      <c r="B390" s="61"/>
      <c r="C390" s="61"/>
      <c r="D390" s="135"/>
      <c r="E390" s="64"/>
      <c r="F390" s="64"/>
      <c r="G390" s="64"/>
      <c r="H390" s="64"/>
      <c r="I390" s="137" t="str">
        <f t="shared" si="24"/>
        <v/>
      </c>
      <c r="J390" s="137" t="str">
        <f t="shared" si="25"/>
        <v/>
      </c>
      <c r="K390" s="138" t="str">
        <f t="shared" si="26"/>
        <v/>
      </c>
      <c r="L390" s="138" t="str">
        <f t="shared" si="27"/>
        <v/>
      </c>
      <c r="M390" s="61"/>
      <c r="N390" s="61"/>
      <c r="O390" s="61"/>
      <c r="P390" s="61"/>
    </row>
    <row r="391" spans="1:16" ht="15" customHeight="1" x14ac:dyDescent="0.25">
      <c r="A391" s="61"/>
      <c r="B391" s="61"/>
      <c r="C391" s="61"/>
      <c r="D391" s="135"/>
      <c r="E391" s="64"/>
      <c r="F391" s="64"/>
      <c r="G391" s="64"/>
      <c r="H391" s="64"/>
      <c r="I391" s="137" t="str">
        <f t="shared" si="24"/>
        <v/>
      </c>
      <c r="J391" s="137" t="str">
        <f t="shared" si="25"/>
        <v/>
      </c>
      <c r="K391" s="138" t="str">
        <f t="shared" si="26"/>
        <v/>
      </c>
      <c r="L391" s="138" t="str">
        <f t="shared" si="27"/>
        <v/>
      </c>
      <c r="M391" s="61"/>
      <c r="N391" s="61"/>
      <c r="O391" s="61"/>
      <c r="P391" s="61"/>
    </row>
    <row r="392" spans="1:16" ht="15" customHeight="1" x14ac:dyDescent="0.25">
      <c r="A392" s="61"/>
      <c r="B392" s="61"/>
      <c r="C392" s="61"/>
      <c r="D392" s="135"/>
      <c r="E392" s="64"/>
      <c r="F392" s="64"/>
      <c r="G392" s="64"/>
      <c r="H392" s="64"/>
      <c r="I392" s="137" t="str">
        <f t="shared" si="24"/>
        <v/>
      </c>
      <c r="J392" s="137" t="str">
        <f t="shared" si="25"/>
        <v/>
      </c>
      <c r="K392" s="138" t="str">
        <f t="shared" si="26"/>
        <v/>
      </c>
      <c r="L392" s="138" t="str">
        <f t="shared" si="27"/>
        <v/>
      </c>
      <c r="M392" s="61"/>
      <c r="N392" s="61"/>
      <c r="O392" s="61"/>
      <c r="P392" s="61"/>
    </row>
    <row r="393" spans="1:16" ht="15" customHeight="1" x14ac:dyDescent="0.25">
      <c r="A393" s="61"/>
      <c r="B393" s="61"/>
      <c r="C393" s="61"/>
      <c r="D393" s="135"/>
      <c r="E393" s="64"/>
      <c r="F393" s="64"/>
      <c r="G393" s="64"/>
      <c r="H393" s="64"/>
      <c r="I393" s="137" t="str">
        <f t="shared" si="24"/>
        <v/>
      </c>
      <c r="J393" s="137" t="str">
        <f t="shared" si="25"/>
        <v/>
      </c>
      <c r="K393" s="138" t="str">
        <f t="shared" si="26"/>
        <v/>
      </c>
      <c r="L393" s="138" t="str">
        <f t="shared" si="27"/>
        <v/>
      </c>
      <c r="M393" s="61"/>
      <c r="N393" s="61"/>
      <c r="O393" s="61"/>
      <c r="P393" s="61"/>
    </row>
    <row r="394" spans="1:16" ht="15" customHeight="1" x14ac:dyDescent="0.25">
      <c r="A394" s="61"/>
      <c r="B394" s="61"/>
      <c r="C394" s="61"/>
      <c r="D394" s="135"/>
      <c r="E394" s="64"/>
      <c r="F394" s="64"/>
      <c r="G394" s="64"/>
      <c r="H394" s="64"/>
      <c r="I394" s="137" t="str">
        <f t="shared" si="24"/>
        <v/>
      </c>
      <c r="J394" s="137" t="str">
        <f t="shared" si="25"/>
        <v/>
      </c>
      <c r="K394" s="138" t="str">
        <f t="shared" si="26"/>
        <v/>
      </c>
      <c r="L394" s="138" t="str">
        <f t="shared" si="27"/>
        <v/>
      </c>
      <c r="M394" s="61"/>
      <c r="N394" s="61"/>
      <c r="O394" s="61"/>
      <c r="P394" s="61"/>
    </row>
    <row r="395" spans="1:16" ht="15" customHeight="1" x14ac:dyDescent="0.25">
      <c r="A395" s="61"/>
      <c r="B395" s="61"/>
      <c r="C395" s="61"/>
      <c r="D395" s="135"/>
      <c r="E395" s="64"/>
      <c r="F395" s="64"/>
      <c r="G395" s="64"/>
      <c r="H395" s="64"/>
      <c r="I395" s="137" t="str">
        <f t="shared" si="24"/>
        <v/>
      </c>
      <c r="J395" s="137" t="str">
        <f t="shared" si="25"/>
        <v/>
      </c>
      <c r="K395" s="138" t="str">
        <f t="shared" si="26"/>
        <v/>
      </c>
      <c r="L395" s="138" t="str">
        <f t="shared" si="27"/>
        <v/>
      </c>
      <c r="M395" s="61"/>
      <c r="N395" s="61"/>
      <c r="O395" s="61"/>
      <c r="P395" s="61"/>
    </row>
    <row r="396" spans="1:16" ht="15" customHeight="1" x14ac:dyDescent="0.25">
      <c r="A396" s="61"/>
      <c r="B396" s="61"/>
      <c r="C396" s="61"/>
      <c r="D396" s="135"/>
      <c r="E396" s="64"/>
      <c r="F396" s="64"/>
      <c r="G396" s="64"/>
      <c r="H396" s="64"/>
      <c r="I396" s="137" t="str">
        <f t="shared" si="24"/>
        <v/>
      </c>
      <c r="J396" s="137" t="str">
        <f t="shared" si="25"/>
        <v/>
      </c>
      <c r="K396" s="138" t="str">
        <f t="shared" si="26"/>
        <v/>
      </c>
      <c r="L396" s="138" t="str">
        <f t="shared" si="27"/>
        <v/>
      </c>
      <c r="M396" s="61"/>
      <c r="N396" s="61"/>
      <c r="O396" s="61"/>
      <c r="P396" s="61"/>
    </row>
    <row r="397" spans="1:16" ht="15" customHeight="1" x14ac:dyDescent="0.25">
      <c r="A397" s="61"/>
      <c r="B397" s="61"/>
      <c r="C397" s="61"/>
      <c r="D397" s="135"/>
      <c r="E397" s="64"/>
      <c r="F397" s="64"/>
      <c r="G397" s="64"/>
      <c r="H397" s="64"/>
      <c r="I397" s="137" t="str">
        <f t="shared" si="24"/>
        <v/>
      </c>
      <c r="J397" s="137" t="str">
        <f t="shared" si="25"/>
        <v/>
      </c>
      <c r="K397" s="138" t="str">
        <f t="shared" si="26"/>
        <v/>
      </c>
      <c r="L397" s="138" t="str">
        <f t="shared" si="27"/>
        <v/>
      </c>
      <c r="M397" s="61"/>
      <c r="N397" s="61"/>
      <c r="O397" s="61"/>
      <c r="P397" s="61"/>
    </row>
    <row r="398" spans="1:16" ht="15" customHeight="1" x14ac:dyDescent="0.25">
      <c r="A398" s="61"/>
      <c r="B398" s="61"/>
      <c r="C398" s="61"/>
      <c r="D398" s="135"/>
      <c r="E398" s="64"/>
      <c r="F398" s="64"/>
      <c r="G398" s="64"/>
      <c r="H398" s="64"/>
      <c r="I398" s="137" t="str">
        <f t="shared" si="24"/>
        <v/>
      </c>
      <c r="J398" s="137" t="str">
        <f t="shared" si="25"/>
        <v/>
      </c>
      <c r="K398" s="138" t="str">
        <f t="shared" si="26"/>
        <v/>
      </c>
      <c r="L398" s="138" t="str">
        <f t="shared" si="27"/>
        <v/>
      </c>
      <c r="M398" s="61"/>
      <c r="N398" s="61"/>
      <c r="O398" s="61"/>
      <c r="P398" s="61"/>
    </row>
    <row r="399" spans="1:16" ht="15" customHeight="1" x14ac:dyDescent="0.25">
      <c r="A399" s="61"/>
      <c r="B399" s="61"/>
      <c r="C399" s="61"/>
      <c r="D399" s="135"/>
      <c r="E399" s="64"/>
      <c r="F399" s="64"/>
      <c r="G399" s="64"/>
      <c r="H399" s="64"/>
      <c r="I399" s="137" t="str">
        <f t="shared" si="24"/>
        <v/>
      </c>
      <c r="J399" s="137" t="str">
        <f t="shared" si="25"/>
        <v/>
      </c>
      <c r="K399" s="138" t="str">
        <f t="shared" si="26"/>
        <v/>
      </c>
      <c r="L399" s="138" t="str">
        <f t="shared" si="27"/>
        <v/>
      </c>
      <c r="M399" s="61"/>
      <c r="N399" s="61"/>
      <c r="O399" s="61"/>
      <c r="P399" s="61"/>
    </row>
    <row r="400" spans="1:16" ht="15" customHeight="1" x14ac:dyDescent="0.25">
      <c r="A400" s="61"/>
      <c r="B400" s="61"/>
      <c r="C400" s="61"/>
      <c r="D400" s="135"/>
      <c r="E400" s="64"/>
      <c r="F400" s="64"/>
      <c r="G400" s="64"/>
      <c r="H400" s="64"/>
      <c r="I400" s="137" t="str">
        <f t="shared" si="24"/>
        <v/>
      </c>
      <c r="J400" s="137" t="str">
        <f t="shared" si="25"/>
        <v/>
      </c>
      <c r="K400" s="138" t="str">
        <f t="shared" si="26"/>
        <v/>
      </c>
      <c r="L400" s="138" t="str">
        <f t="shared" si="27"/>
        <v/>
      </c>
      <c r="M400" s="61"/>
      <c r="N400" s="61"/>
      <c r="O400" s="61"/>
      <c r="P400" s="61"/>
    </row>
    <row r="401" spans="1:16" ht="15" customHeight="1" x14ac:dyDescent="0.25">
      <c r="A401" s="61"/>
      <c r="B401" s="61"/>
      <c r="C401" s="61"/>
      <c r="D401" s="135"/>
      <c r="E401" s="64"/>
      <c r="F401" s="64"/>
      <c r="G401" s="64"/>
      <c r="H401" s="64"/>
      <c r="I401" s="137" t="str">
        <f t="shared" si="24"/>
        <v/>
      </c>
      <c r="J401" s="137" t="str">
        <f t="shared" si="25"/>
        <v/>
      </c>
      <c r="K401" s="138" t="str">
        <f t="shared" si="26"/>
        <v/>
      </c>
      <c r="L401" s="138" t="str">
        <f t="shared" si="27"/>
        <v/>
      </c>
      <c r="M401" s="61"/>
      <c r="N401" s="61"/>
      <c r="O401" s="61"/>
      <c r="P401" s="61"/>
    </row>
    <row r="402" spans="1:16" ht="15" customHeight="1" x14ac:dyDescent="0.25">
      <c r="A402" s="61"/>
      <c r="B402" s="61"/>
      <c r="C402" s="61"/>
      <c r="D402" s="135"/>
      <c r="E402" s="64"/>
      <c r="F402" s="64"/>
      <c r="G402" s="64"/>
      <c r="H402" s="64"/>
      <c r="I402" s="137" t="str">
        <f t="shared" si="24"/>
        <v/>
      </c>
      <c r="J402" s="137" t="str">
        <f t="shared" si="25"/>
        <v/>
      </c>
      <c r="K402" s="138" t="str">
        <f t="shared" si="26"/>
        <v/>
      </c>
      <c r="L402" s="138" t="str">
        <f t="shared" si="27"/>
        <v/>
      </c>
      <c r="M402" s="61"/>
      <c r="N402" s="61"/>
      <c r="O402" s="61"/>
      <c r="P402" s="61"/>
    </row>
    <row r="403" spans="1:16" ht="15" customHeight="1" x14ac:dyDescent="0.25">
      <c r="A403" s="61"/>
      <c r="B403" s="61"/>
      <c r="C403" s="61"/>
      <c r="D403" s="135"/>
      <c r="E403" s="64"/>
      <c r="F403" s="64"/>
      <c r="G403" s="64"/>
      <c r="H403" s="64"/>
      <c r="I403" s="137" t="str">
        <f t="shared" si="24"/>
        <v/>
      </c>
      <c r="J403" s="137" t="str">
        <f t="shared" si="25"/>
        <v/>
      </c>
      <c r="K403" s="138" t="str">
        <f t="shared" si="26"/>
        <v/>
      </c>
      <c r="L403" s="138" t="str">
        <f t="shared" si="27"/>
        <v/>
      </c>
      <c r="M403" s="61"/>
      <c r="N403" s="61"/>
      <c r="O403" s="61"/>
      <c r="P403" s="61"/>
    </row>
    <row r="404" spans="1:16" ht="15" customHeight="1" x14ac:dyDescent="0.25">
      <c r="A404" s="61"/>
      <c r="B404" s="61"/>
      <c r="C404" s="61"/>
      <c r="D404" s="135"/>
      <c r="E404" s="64"/>
      <c r="F404" s="64"/>
      <c r="G404" s="64"/>
      <c r="H404" s="64"/>
      <c r="I404" s="137" t="str">
        <f t="shared" si="24"/>
        <v/>
      </c>
      <c r="J404" s="137" t="str">
        <f t="shared" si="25"/>
        <v/>
      </c>
      <c r="K404" s="138" t="str">
        <f t="shared" si="26"/>
        <v/>
      </c>
      <c r="L404" s="138" t="str">
        <f t="shared" si="27"/>
        <v/>
      </c>
      <c r="M404" s="61"/>
      <c r="N404" s="61"/>
      <c r="O404" s="61"/>
      <c r="P404" s="61"/>
    </row>
    <row r="405" spans="1:16" ht="15" customHeight="1" x14ac:dyDescent="0.25">
      <c r="A405" s="61"/>
      <c r="B405" s="61"/>
      <c r="C405" s="61"/>
      <c r="D405" s="135"/>
      <c r="E405" s="64"/>
      <c r="F405" s="64"/>
      <c r="G405" s="64"/>
      <c r="H405" s="64"/>
      <c r="I405" s="137" t="str">
        <f t="shared" si="24"/>
        <v/>
      </c>
      <c r="J405" s="137" t="str">
        <f t="shared" si="25"/>
        <v/>
      </c>
      <c r="K405" s="138" t="str">
        <f t="shared" si="26"/>
        <v/>
      </c>
      <c r="L405" s="138" t="str">
        <f t="shared" si="27"/>
        <v/>
      </c>
      <c r="M405" s="61"/>
      <c r="N405" s="61"/>
      <c r="O405" s="61"/>
      <c r="P405" s="61"/>
    </row>
    <row r="406" spans="1:16" ht="15" customHeight="1" x14ac:dyDescent="0.25">
      <c r="A406" s="61"/>
      <c r="B406" s="61"/>
      <c r="C406" s="61"/>
      <c r="D406" s="135"/>
      <c r="E406" s="64"/>
      <c r="F406" s="64"/>
      <c r="G406" s="64"/>
      <c r="H406" s="64"/>
      <c r="I406" s="137" t="str">
        <f t="shared" si="24"/>
        <v/>
      </c>
      <c r="J406" s="137" t="str">
        <f t="shared" si="25"/>
        <v/>
      </c>
      <c r="K406" s="138" t="str">
        <f t="shared" si="26"/>
        <v/>
      </c>
      <c r="L406" s="138" t="str">
        <f t="shared" si="27"/>
        <v/>
      </c>
      <c r="M406" s="61"/>
      <c r="N406" s="61"/>
      <c r="O406" s="61"/>
      <c r="P406" s="61"/>
    </row>
    <row r="407" spans="1:16" ht="15" customHeight="1" x14ac:dyDescent="0.25">
      <c r="A407" s="61"/>
      <c r="B407" s="61"/>
      <c r="C407" s="61"/>
      <c r="D407" s="135"/>
      <c r="E407" s="64"/>
      <c r="F407" s="64"/>
      <c r="G407" s="64"/>
      <c r="H407" s="64"/>
      <c r="I407" s="137" t="str">
        <f t="shared" si="24"/>
        <v/>
      </c>
      <c r="J407" s="137" t="str">
        <f t="shared" si="25"/>
        <v/>
      </c>
      <c r="K407" s="138" t="str">
        <f t="shared" si="26"/>
        <v/>
      </c>
      <c r="L407" s="138" t="str">
        <f t="shared" si="27"/>
        <v/>
      </c>
      <c r="M407" s="61"/>
      <c r="N407" s="61"/>
      <c r="O407" s="61"/>
      <c r="P407" s="61"/>
    </row>
    <row r="408" spans="1:16" ht="15" customHeight="1" x14ac:dyDescent="0.25">
      <c r="A408" s="61"/>
      <c r="B408" s="61"/>
      <c r="C408" s="61"/>
      <c r="D408" s="135"/>
      <c r="E408" s="64"/>
      <c r="F408" s="64"/>
      <c r="G408" s="64"/>
      <c r="H408" s="64"/>
      <c r="I408" s="137" t="str">
        <f t="shared" si="24"/>
        <v/>
      </c>
      <c r="J408" s="137" t="str">
        <f t="shared" si="25"/>
        <v/>
      </c>
      <c r="K408" s="138" t="str">
        <f t="shared" si="26"/>
        <v/>
      </c>
      <c r="L408" s="138" t="str">
        <f t="shared" si="27"/>
        <v/>
      </c>
      <c r="M408" s="61"/>
      <c r="N408" s="61"/>
      <c r="O408" s="61"/>
      <c r="P408" s="61"/>
    </row>
    <row r="409" spans="1:16" ht="15" customHeight="1" x14ac:dyDescent="0.25">
      <c r="A409" s="61"/>
      <c r="B409" s="61"/>
      <c r="C409" s="61"/>
      <c r="D409" s="135"/>
      <c r="E409" s="64"/>
      <c r="F409" s="64"/>
      <c r="G409" s="64"/>
      <c r="H409" s="64"/>
      <c r="I409" s="137" t="str">
        <f t="shared" si="24"/>
        <v/>
      </c>
      <c r="J409" s="137" t="str">
        <f t="shared" si="25"/>
        <v/>
      </c>
      <c r="K409" s="138" t="str">
        <f t="shared" si="26"/>
        <v/>
      </c>
      <c r="L409" s="138" t="str">
        <f t="shared" si="27"/>
        <v/>
      </c>
      <c r="M409" s="61"/>
      <c r="N409" s="61"/>
      <c r="O409" s="61"/>
      <c r="P409" s="61"/>
    </row>
    <row r="410" spans="1:16" ht="15" customHeight="1" x14ac:dyDescent="0.25">
      <c r="A410" s="61"/>
      <c r="B410" s="61"/>
      <c r="C410" s="61"/>
      <c r="D410" s="135"/>
      <c r="E410" s="64"/>
      <c r="F410" s="64"/>
      <c r="G410" s="64"/>
      <c r="H410" s="64"/>
      <c r="I410" s="137" t="str">
        <f t="shared" si="24"/>
        <v/>
      </c>
      <c r="J410" s="137" t="str">
        <f t="shared" si="25"/>
        <v/>
      </c>
      <c r="K410" s="138" t="str">
        <f t="shared" si="26"/>
        <v/>
      </c>
      <c r="L410" s="138" t="str">
        <f t="shared" si="27"/>
        <v/>
      </c>
      <c r="M410" s="61"/>
      <c r="N410" s="61"/>
      <c r="O410" s="61"/>
      <c r="P410" s="61"/>
    </row>
    <row r="411" spans="1:16" ht="15" customHeight="1" x14ac:dyDescent="0.25">
      <c r="A411" s="61"/>
      <c r="B411" s="61"/>
      <c r="C411" s="61"/>
      <c r="D411" s="135"/>
      <c r="E411" s="64"/>
      <c r="F411" s="64"/>
      <c r="G411" s="64"/>
      <c r="H411" s="64"/>
      <c r="I411" s="137" t="str">
        <f t="shared" si="24"/>
        <v/>
      </c>
      <c r="J411" s="137" t="str">
        <f t="shared" si="25"/>
        <v/>
      </c>
      <c r="K411" s="138" t="str">
        <f t="shared" si="26"/>
        <v/>
      </c>
      <c r="L411" s="138" t="str">
        <f t="shared" si="27"/>
        <v/>
      </c>
      <c r="M411" s="61"/>
      <c r="N411" s="61"/>
      <c r="O411" s="61"/>
      <c r="P411" s="61"/>
    </row>
    <row r="412" spans="1:16" ht="15" customHeight="1" x14ac:dyDescent="0.25">
      <c r="A412" s="61"/>
      <c r="B412" s="61"/>
      <c r="C412" s="61"/>
      <c r="D412" s="135"/>
      <c r="E412" s="64"/>
      <c r="F412" s="64"/>
      <c r="G412" s="64"/>
      <c r="H412" s="64"/>
      <c r="I412" s="137" t="str">
        <f t="shared" si="24"/>
        <v/>
      </c>
      <c r="J412" s="137" t="str">
        <f t="shared" si="25"/>
        <v/>
      </c>
      <c r="K412" s="138" t="str">
        <f t="shared" si="26"/>
        <v/>
      </c>
      <c r="L412" s="138" t="str">
        <f t="shared" si="27"/>
        <v/>
      </c>
      <c r="M412" s="61"/>
      <c r="N412" s="61"/>
      <c r="O412" s="61"/>
      <c r="P412" s="61"/>
    </row>
    <row r="413" spans="1:16" ht="15" customHeight="1" x14ac:dyDescent="0.25">
      <c r="A413" s="61"/>
      <c r="B413" s="61"/>
      <c r="C413" s="61"/>
      <c r="D413" s="135"/>
      <c r="E413" s="64"/>
      <c r="F413" s="64"/>
      <c r="G413" s="64"/>
      <c r="H413" s="64"/>
      <c r="I413" s="137" t="str">
        <f t="shared" si="24"/>
        <v/>
      </c>
      <c r="J413" s="137" t="str">
        <f t="shared" si="25"/>
        <v/>
      </c>
      <c r="K413" s="138" t="str">
        <f t="shared" si="26"/>
        <v/>
      </c>
      <c r="L413" s="138" t="str">
        <f t="shared" si="27"/>
        <v/>
      </c>
      <c r="M413" s="61"/>
      <c r="N413" s="61"/>
      <c r="O413" s="61"/>
      <c r="P413" s="61"/>
    </row>
    <row r="414" spans="1:16" ht="15" customHeight="1" x14ac:dyDescent="0.25">
      <c r="A414" s="61"/>
      <c r="B414" s="61"/>
      <c r="C414" s="61"/>
      <c r="D414" s="135"/>
      <c r="E414" s="64"/>
      <c r="F414" s="64"/>
      <c r="G414" s="64"/>
      <c r="H414" s="64"/>
      <c r="I414" s="137" t="str">
        <f t="shared" si="24"/>
        <v/>
      </c>
      <c r="J414" s="137" t="str">
        <f t="shared" si="25"/>
        <v/>
      </c>
      <c r="K414" s="138" t="str">
        <f t="shared" si="26"/>
        <v/>
      </c>
      <c r="L414" s="138" t="str">
        <f t="shared" si="27"/>
        <v/>
      </c>
      <c r="M414" s="61"/>
      <c r="N414" s="61"/>
      <c r="O414" s="61"/>
      <c r="P414" s="61"/>
    </row>
    <row r="415" spans="1:16" ht="15" customHeight="1" x14ac:dyDescent="0.25">
      <c r="A415" s="61"/>
      <c r="B415" s="61"/>
      <c r="C415" s="61"/>
      <c r="D415" s="135"/>
      <c r="E415" s="64"/>
      <c r="F415" s="64"/>
      <c r="G415" s="64"/>
      <c r="H415" s="64"/>
      <c r="I415" s="137" t="str">
        <f t="shared" si="24"/>
        <v/>
      </c>
      <c r="J415" s="137" t="str">
        <f t="shared" si="25"/>
        <v/>
      </c>
      <c r="K415" s="138" t="str">
        <f t="shared" si="26"/>
        <v/>
      </c>
      <c r="L415" s="138" t="str">
        <f t="shared" si="27"/>
        <v/>
      </c>
      <c r="M415" s="61"/>
      <c r="N415" s="61"/>
      <c r="O415" s="61"/>
      <c r="P415" s="61"/>
    </row>
    <row r="416" spans="1:16" ht="15" customHeight="1" x14ac:dyDescent="0.25">
      <c r="A416" s="61"/>
      <c r="B416" s="61"/>
      <c r="C416" s="61"/>
      <c r="D416" s="135"/>
      <c r="E416" s="64"/>
      <c r="F416" s="64"/>
      <c r="G416" s="64"/>
      <c r="H416" s="64"/>
      <c r="I416" s="137" t="str">
        <f t="shared" si="24"/>
        <v/>
      </c>
      <c r="J416" s="137" t="str">
        <f t="shared" si="25"/>
        <v/>
      </c>
      <c r="K416" s="138" t="str">
        <f t="shared" si="26"/>
        <v/>
      </c>
      <c r="L416" s="138" t="str">
        <f t="shared" si="27"/>
        <v/>
      </c>
      <c r="M416" s="61"/>
      <c r="N416" s="61"/>
      <c r="O416" s="61"/>
      <c r="P416" s="61"/>
    </row>
    <row r="417" spans="1:16" ht="15" customHeight="1" x14ac:dyDescent="0.25">
      <c r="A417" s="61"/>
      <c r="B417" s="61"/>
      <c r="C417" s="61"/>
      <c r="D417" s="135"/>
      <c r="E417" s="64"/>
      <c r="F417" s="64"/>
      <c r="G417" s="64"/>
      <c r="H417" s="64"/>
      <c r="I417" s="137" t="str">
        <f t="shared" si="24"/>
        <v/>
      </c>
      <c r="J417" s="137" t="str">
        <f t="shared" si="25"/>
        <v/>
      </c>
      <c r="K417" s="138" t="str">
        <f t="shared" si="26"/>
        <v/>
      </c>
      <c r="L417" s="138" t="str">
        <f t="shared" si="27"/>
        <v/>
      </c>
      <c r="M417" s="61"/>
      <c r="N417" s="61"/>
      <c r="O417" s="61"/>
      <c r="P417" s="61"/>
    </row>
    <row r="418" spans="1:16" ht="15" customHeight="1" x14ac:dyDescent="0.25">
      <c r="A418" s="61"/>
      <c r="B418" s="61"/>
      <c r="C418" s="61"/>
      <c r="D418" s="135"/>
      <c r="E418" s="64"/>
      <c r="F418" s="64"/>
      <c r="G418" s="64"/>
      <c r="H418" s="64"/>
      <c r="I418" s="137" t="str">
        <f t="shared" si="24"/>
        <v/>
      </c>
      <c r="J418" s="137" t="str">
        <f t="shared" si="25"/>
        <v/>
      </c>
      <c r="K418" s="138" t="str">
        <f t="shared" si="26"/>
        <v/>
      </c>
      <c r="L418" s="138" t="str">
        <f t="shared" si="27"/>
        <v/>
      </c>
      <c r="M418" s="61"/>
      <c r="N418" s="61"/>
      <c r="O418" s="61"/>
      <c r="P418" s="61"/>
    </row>
    <row r="419" spans="1:16" ht="15" customHeight="1" x14ac:dyDescent="0.25">
      <c r="A419" s="61"/>
      <c r="B419" s="61"/>
      <c r="C419" s="61"/>
      <c r="D419" s="135"/>
      <c r="E419" s="64"/>
      <c r="F419" s="64"/>
      <c r="G419" s="64"/>
      <c r="H419" s="64"/>
      <c r="I419" s="137" t="str">
        <f t="shared" si="24"/>
        <v/>
      </c>
      <c r="J419" s="137" t="str">
        <f t="shared" si="25"/>
        <v/>
      </c>
      <c r="K419" s="138" t="str">
        <f t="shared" si="26"/>
        <v/>
      </c>
      <c r="L419" s="138" t="str">
        <f t="shared" si="27"/>
        <v/>
      </c>
      <c r="M419" s="61"/>
      <c r="N419" s="61"/>
      <c r="O419" s="61"/>
      <c r="P419" s="61"/>
    </row>
    <row r="420" spans="1:16" ht="15" customHeight="1" x14ac:dyDescent="0.25">
      <c r="A420" s="61"/>
      <c r="B420" s="61"/>
      <c r="C420" s="61"/>
      <c r="D420" s="135"/>
      <c r="E420" s="64"/>
      <c r="F420" s="64"/>
      <c r="G420" s="64"/>
      <c r="H420" s="64"/>
      <c r="I420" s="137" t="str">
        <f t="shared" si="24"/>
        <v/>
      </c>
      <c r="J420" s="137" t="str">
        <f t="shared" si="25"/>
        <v/>
      </c>
      <c r="K420" s="138" t="str">
        <f t="shared" si="26"/>
        <v/>
      </c>
      <c r="L420" s="138" t="str">
        <f t="shared" si="27"/>
        <v/>
      </c>
      <c r="M420" s="61"/>
      <c r="N420" s="61"/>
      <c r="O420" s="61"/>
      <c r="P420" s="61"/>
    </row>
    <row r="421" spans="1:16" ht="15" customHeight="1" x14ac:dyDescent="0.25">
      <c r="A421" s="61"/>
      <c r="B421" s="61"/>
      <c r="C421" s="61"/>
      <c r="D421" s="135"/>
      <c r="E421" s="64"/>
      <c r="F421" s="64"/>
      <c r="G421" s="64"/>
      <c r="H421" s="64"/>
      <c r="I421" s="137" t="str">
        <f t="shared" si="24"/>
        <v/>
      </c>
      <c r="J421" s="137" t="str">
        <f t="shared" si="25"/>
        <v/>
      </c>
      <c r="K421" s="138" t="str">
        <f t="shared" si="26"/>
        <v/>
      </c>
      <c r="L421" s="138" t="str">
        <f t="shared" si="27"/>
        <v/>
      </c>
      <c r="M421" s="61"/>
      <c r="N421" s="61"/>
      <c r="O421" s="61"/>
      <c r="P421" s="61"/>
    </row>
    <row r="422" spans="1:16" ht="15" customHeight="1" x14ac:dyDescent="0.25">
      <c r="A422" s="61"/>
      <c r="B422" s="61"/>
      <c r="C422" s="61"/>
      <c r="D422" s="135"/>
      <c r="E422" s="64"/>
      <c r="F422" s="64"/>
      <c r="G422" s="64"/>
      <c r="H422" s="64"/>
      <c r="I422" s="137" t="str">
        <f t="shared" si="24"/>
        <v/>
      </c>
      <c r="J422" s="137" t="str">
        <f t="shared" si="25"/>
        <v/>
      </c>
      <c r="K422" s="138" t="str">
        <f t="shared" si="26"/>
        <v/>
      </c>
      <c r="L422" s="138" t="str">
        <f t="shared" si="27"/>
        <v/>
      </c>
      <c r="M422" s="61"/>
      <c r="N422" s="61"/>
      <c r="O422" s="61"/>
      <c r="P422" s="61"/>
    </row>
    <row r="423" spans="1:16" ht="15" customHeight="1" x14ac:dyDescent="0.25">
      <c r="A423" s="61"/>
      <c r="B423" s="61"/>
      <c r="C423" s="61"/>
      <c r="D423" s="135"/>
      <c r="E423" s="64"/>
      <c r="F423" s="64"/>
      <c r="G423" s="64"/>
      <c r="H423" s="64"/>
      <c r="I423" s="137" t="str">
        <f t="shared" si="24"/>
        <v/>
      </c>
      <c r="J423" s="137" t="str">
        <f t="shared" si="25"/>
        <v/>
      </c>
      <c r="K423" s="138" t="str">
        <f t="shared" si="26"/>
        <v/>
      </c>
      <c r="L423" s="138" t="str">
        <f t="shared" si="27"/>
        <v/>
      </c>
      <c r="M423" s="61"/>
      <c r="N423" s="61"/>
      <c r="O423" s="61"/>
      <c r="P423" s="61"/>
    </row>
    <row r="424" spans="1:16" ht="15" customHeight="1" x14ac:dyDescent="0.25">
      <c r="A424" s="61"/>
      <c r="B424" s="61"/>
      <c r="C424" s="61"/>
      <c r="D424" s="135"/>
      <c r="E424" s="64"/>
      <c r="F424" s="64"/>
      <c r="G424" s="64"/>
      <c r="H424" s="64"/>
      <c r="I424" s="137" t="str">
        <f t="shared" si="24"/>
        <v/>
      </c>
      <c r="J424" s="137" t="str">
        <f t="shared" si="25"/>
        <v/>
      </c>
      <c r="K424" s="138" t="str">
        <f t="shared" si="26"/>
        <v/>
      </c>
      <c r="L424" s="138" t="str">
        <f t="shared" si="27"/>
        <v/>
      </c>
      <c r="M424" s="61"/>
      <c r="N424" s="61"/>
      <c r="O424" s="61"/>
      <c r="P424" s="61"/>
    </row>
    <row r="425" spans="1:16" ht="15" customHeight="1" x14ac:dyDescent="0.25">
      <c r="A425" s="61"/>
      <c r="B425" s="61"/>
      <c r="C425" s="61"/>
      <c r="D425" s="135"/>
      <c r="E425" s="64"/>
      <c r="F425" s="64"/>
      <c r="G425" s="64"/>
      <c r="H425" s="64"/>
      <c r="I425" s="137" t="str">
        <f t="shared" si="24"/>
        <v/>
      </c>
      <c r="J425" s="137" t="str">
        <f t="shared" si="25"/>
        <v/>
      </c>
      <c r="K425" s="138" t="str">
        <f t="shared" si="26"/>
        <v/>
      </c>
      <c r="L425" s="138" t="str">
        <f t="shared" si="27"/>
        <v/>
      </c>
      <c r="M425" s="61"/>
      <c r="N425" s="61"/>
      <c r="O425" s="61"/>
      <c r="P425" s="61"/>
    </row>
    <row r="426" spans="1:16" ht="15" customHeight="1" x14ac:dyDescent="0.25">
      <c r="A426" s="61"/>
      <c r="B426" s="61"/>
      <c r="C426" s="61"/>
      <c r="D426" s="135"/>
      <c r="E426" s="64"/>
      <c r="F426" s="64"/>
      <c r="G426" s="64"/>
      <c r="H426" s="64"/>
      <c r="I426" s="137" t="str">
        <f t="shared" si="24"/>
        <v/>
      </c>
      <c r="J426" s="137" t="str">
        <f t="shared" si="25"/>
        <v/>
      </c>
      <c r="K426" s="138" t="str">
        <f t="shared" si="26"/>
        <v/>
      </c>
      <c r="L426" s="138" t="str">
        <f t="shared" si="27"/>
        <v/>
      </c>
      <c r="M426" s="61"/>
      <c r="N426" s="61"/>
      <c r="O426" s="61"/>
      <c r="P426" s="61"/>
    </row>
    <row r="427" spans="1:16" ht="15" customHeight="1" x14ac:dyDescent="0.25">
      <c r="A427" s="61"/>
      <c r="B427" s="61"/>
      <c r="C427" s="61"/>
      <c r="D427" s="135"/>
      <c r="E427" s="64"/>
      <c r="F427" s="64"/>
      <c r="G427" s="64"/>
      <c r="H427" s="64"/>
      <c r="I427" s="137" t="str">
        <f t="shared" si="24"/>
        <v/>
      </c>
      <c r="J427" s="137" t="str">
        <f t="shared" si="25"/>
        <v/>
      </c>
      <c r="K427" s="138" t="str">
        <f t="shared" si="26"/>
        <v/>
      </c>
      <c r="L427" s="138" t="str">
        <f t="shared" si="27"/>
        <v/>
      </c>
      <c r="M427" s="61"/>
      <c r="N427" s="61"/>
      <c r="O427" s="61"/>
      <c r="P427" s="61"/>
    </row>
    <row r="428" spans="1:16" ht="15" customHeight="1" x14ac:dyDescent="0.25">
      <c r="A428" s="61"/>
      <c r="B428" s="61"/>
      <c r="C428" s="61"/>
      <c r="D428" s="135"/>
      <c r="E428" s="64"/>
      <c r="F428" s="64"/>
      <c r="G428" s="64"/>
      <c r="H428" s="64"/>
      <c r="I428" s="137" t="str">
        <f t="shared" si="24"/>
        <v/>
      </c>
      <c r="J428" s="137" t="str">
        <f t="shared" si="25"/>
        <v/>
      </c>
      <c r="K428" s="138" t="str">
        <f t="shared" si="26"/>
        <v/>
      </c>
      <c r="L428" s="138" t="str">
        <f t="shared" si="27"/>
        <v/>
      </c>
      <c r="M428" s="61"/>
      <c r="N428" s="61"/>
      <c r="O428" s="61"/>
      <c r="P428" s="61"/>
    </row>
    <row r="429" spans="1:16" ht="15" customHeight="1" x14ac:dyDescent="0.25">
      <c r="A429" s="61"/>
      <c r="B429" s="61"/>
      <c r="C429" s="61"/>
      <c r="D429" s="135"/>
      <c r="E429" s="64"/>
      <c r="F429" s="64"/>
      <c r="G429" s="64"/>
      <c r="H429" s="64"/>
      <c r="I429" s="137" t="str">
        <f t="shared" si="24"/>
        <v/>
      </c>
      <c r="J429" s="137" t="str">
        <f t="shared" si="25"/>
        <v/>
      </c>
      <c r="K429" s="138" t="str">
        <f t="shared" si="26"/>
        <v/>
      </c>
      <c r="L429" s="138" t="str">
        <f t="shared" si="27"/>
        <v/>
      </c>
      <c r="M429" s="61"/>
      <c r="N429" s="61"/>
      <c r="O429" s="61"/>
      <c r="P429" s="61"/>
    </row>
    <row r="430" spans="1:16" ht="15" customHeight="1" x14ac:dyDescent="0.25">
      <c r="A430" s="61"/>
      <c r="B430" s="61"/>
      <c r="C430" s="61"/>
      <c r="D430" s="135"/>
      <c r="E430" s="64"/>
      <c r="F430" s="64"/>
      <c r="G430" s="64"/>
      <c r="H430" s="64"/>
      <c r="I430" s="137" t="str">
        <f t="shared" si="24"/>
        <v/>
      </c>
      <c r="J430" s="137" t="str">
        <f t="shared" si="25"/>
        <v/>
      </c>
      <c r="K430" s="138" t="str">
        <f t="shared" si="26"/>
        <v/>
      </c>
      <c r="L430" s="138" t="str">
        <f t="shared" si="27"/>
        <v/>
      </c>
      <c r="M430" s="61"/>
      <c r="N430" s="61"/>
      <c r="O430" s="61"/>
      <c r="P430" s="61"/>
    </row>
    <row r="431" spans="1:16" ht="15" customHeight="1" x14ac:dyDescent="0.25">
      <c r="A431" s="61"/>
      <c r="B431" s="61"/>
      <c r="C431" s="61"/>
      <c r="D431" s="135"/>
      <c r="E431" s="64"/>
      <c r="F431" s="64"/>
      <c r="G431" s="64"/>
      <c r="H431" s="64"/>
      <c r="I431" s="137" t="str">
        <f t="shared" si="24"/>
        <v/>
      </c>
      <c r="J431" s="137" t="str">
        <f t="shared" si="25"/>
        <v/>
      </c>
      <c r="K431" s="138" t="str">
        <f t="shared" si="26"/>
        <v/>
      </c>
      <c r="L431" s="138" t="str">
        <f t="shared" si="27"/>
        <v/>
      </c>
      <c r="M431" s="61"/>
      <c r="N431" s="61"/>
      <c r="O431" s="61"/>
      <c r="P431" s="61"/>
    </row>
    <row r="432" spans="1:16" ht="15" customHeight="1" x14ac:dyDescent="0.25">
      <c r="A432" s="61"/>
      <c r="B432" s="61"/>
      <c r="C432" s="61"/>
      <c r="D432" s="135"/>
      <c r="E432" s="64"/>
      <c r="F432" s="64"/>
      <c r="G432" s="64"/>
      <c r="H432" s="64"/>
      <c r="I432" s="137" t="str">
        <f t="shared" si="24"/>
        <v/>
      </c>
      <c r="J432" s="137" t="str">
        <f t="shared" si="25"/>
        <v/>
      </c>
      <c r="K432" s="138" t="str">
        <f t="shared" si="26"/>
        <v/>
      </c>
      <c r="L432" s="138" t="str">
        <f t="shared" si="27"/>
        <v/>
      </c>
      <c r="M432" s="61"/>
      <c r="N432" s="61"/>
      <c r="O432" s="61"/>
      <c r="P432" s="61"/>
    </row>
    <row r="433" spans="1:16" ht="15" customHeight="1" x14ac:dyDescent="0.25">
      <c r="A433" s="61"/>
      <c r="B433" s="61"/>
      <c r="C433" s="61"/>
      <c r="D433" s="135"/>
      <c r="E433" s="64"/>
      <c r="F433" s="64"/>
      <c r="G433" s="64"/>
      <c r="H433" s="64"/>
      <c r="I433" s="137" t="str">
        <f t="shared" si="24"/>
        <v/>
      </c>
      <c r="J433" s="137" t="str">
        <f t="shared" si="25"/>
        <v/>
      </c>
      <c r="K433" s="138" t="str">
        <f t="shared" si="26"/>
        <v/>
      </c>
      <c r="L433" s="138" t="str">
        <f t="shared" si="27"/>
        <v/>
      </c>
      <c r="M433" s="61"/>
      <c r="N433" s="61"/>
      <c r="O433" s="61"/>
      <c r="P433" s="61"/>
    </row>
    <row r="434" spans="1:16" ht="15" customHeight="1" x14ac:dyDescent="0.25">
      <c r="A434" s="61"/>
      <c r="B434" s="61"/>
      <c r="C434" s="61"/>
      <c r="D434" s="135"/>
      <c r="E434" s="64"/>
      <c r="F434" s="64"/>
      <c r="G434" s="64"/>
      <c r="H434" s="64"/>
      <c r="I434" s="137" t="str">
        <f t="shared" si="24"/>
        <v/>
      </c>
      <c r="J434" s="137" t="str">
        <f t="shared" si="25"/>
        <v/>
      </c>
      <c r="K434" s="138" t="str">
        <f t="shared" si="26"/>
        <v/>
      </c>
      <c r="L434" s="138" t="str">
        <f t="shared" si="27"/>
        <v/>
      </c>
      <c r="M434" s="61"/>
      <c r="N434" s="61"/>
      <c r="O434" s="61"/>
      <c r="P434" s="61"/>
    </row>
    <row r="435" spans="1:16" ht="15" customHeight="1" x14ac:dyDescent="0.25">
      <c r="A435" s="61"/>
      <c r="B435" s="61"/>
      <c r="C435" s="61"/>
      <c r="D435" s="135"/>
      <c r="E435" s="64"/>
      <c r="F435" s="64"/>
      <c r="G435" s="64"/>
      <c r="H435" s="64"/>
      <c r="I435" s="137" t="str">
        <f t="shared" si="24"/>
        <v/>
      </c>
      <c r="J435" s="137" t="str">
        <f t="shared" si="25"/>
        <v/>
      </c>
      <c r="K435" s="138" t="str">
        <f t="shared" si="26"/>
        <v/>
      </c>
      <c r="L435" s="138" t="str">
        <f t="shared" si="27"/>
        <v/>
      </c>
      <c r="M435" s="61"/>
      <c r="N435" s="61"/>
      <c r="O435" s="61"/>
      <c r="P435" s="61"/>
    </row>
    <row r="436" spans="1:16" ht="15" customHeight="1" x14ac:dyDescent="0.25">
      <c r="A436" s="61"/>
      <c r="B436" s="61"/>
      <c r="C436" s="61"/>
      <c r="D436" s="135"/>
      <c r="E436" s="64"/>
      <c r="F436" s="64"/>
      <c r="G436" s="64"/>
      <c r="H436" s="64"/>
      <c r="I436" s="137" t="str">
        <f t="shared" si="24"/>
        <v/>
      </c>
      <c r="J436" s="137" t="str">
        <f t="shared" si="25"/>
        <v/>
      </c>
      <c r="K436" s="138" t="str">
        <f t="shared" si="26"/>
        <v/>
      </c>
      <c r="L436" s="138" t="str">
        <f t="shared" si="27"/>
        <v/>
      </c>
      <c r="M436" s="61"/>
      <c r="N436" s="61"/>
      <c r="O436" s="61"/>
      <c r="P436" s="61"/>
    </row>
    <row r="437" spans="1:16" ht="15" customHeight="1" x14ac:dyDescent="0.25">
      <c r="A437" s="61"/>
      <c r="B437" s="61"/>
      <c r="C437" s="61"/>
      <c r="D437" s="135"/>
      <c r="E437" s="64"/>
      <c r="F437" s="64"/>
      <c r="G437" s="64"/>
      <c r="H437" s="64"/>
      <c r="I437" s="137" t="str">
        <f t="shared" si="24"/>
        <v/>
      </c>
      <c r="J437" s="137" t="str">
        <f t="shared" si="25"/>
        <v/>
      </c>
      <c r="K437" s="138" t="str">
        <f t="shared" si="26"/>
        <v/>
      </c>
      <c r="L437" s="138" t="str">
        <f t="shared" si="27"/>
        <v/>
      </c>
      <c r="M437" s="61"/>
      <c r="N437" s="61"/>
      <c r="O437" s="61"/>
      <c r="P437" s="61"/>
    </row>
    <row r="438" spans="1:16" ht="15" customHeight="1" x14ac:dyDescent="0.25">
      <c r="A438" s="61"/>
      <c r="B438" s="61"/>
      <c r="C438" s="61"/>
      <c r="D438" s="135"/>
      <c r="E438" s="64"/>
      <c r="F438" s="64"/>
      <c r="G438" s="64"/>
      <c r="H438" s="64"/>
      <c r="I438" s="137" t="str">
        <f t="shared" si="24"/>
        <v/>
      </c>
      <c r="J438" s="137" t="str">
        <f t="shared" si="25"/>
        <v/>
      </c>
      <c r="K438" s="138" t="str">
        <f t="shared" si="26"/>
        <v/>
      </c>
      <c r="L438" s="138" t="str">
        <f t="shared" si="27"/>
        <v/>
      </c>
      <c r="M438" s="61"/>
      <c r="N438" s="61"/>
      <c r="O438" s="61"/>
      <c r="P438" s="61"/>
    </row>
    <row r="439" spans="1:16" ht="15" customHeight="1" x14ac:dyDescent="0.25">
      <c r="A439" s="61"/>
      <c r="B439" s="61"/>
      <c r="C439" s="61"/>
      <c r="D439" s="135"/>
      <c r="E439" s="64"/>
      <c r="F439" s="64"/>
      <c r="G439" s="64"/>
      <c r="H439" s="64"/>
      <c r="I439" s="137" t="str">
        <f t="shared" si="24"/>
        <v/>
      </c>
      <c r="J439" s="137" t="str">
        <f t="shared" si="25"/>
        <v/>
      </c>
      <c r="K439" s="138" t="str">
        <f t="shared" si="26"/>
        <v/>
      </c>
      <c r="L439" s="138" t="str">
        <f t="shared" si="27"/>
        <v/>
      </c>
      <c r="M439" s="61"/>
      <c r="N439" s="61"/>
      <c r="O439" s="61"/>
      <c r="P439" s="61"/>
    </row>
    <row r="440" spans="1:16" ht="15" customHeight="1" x14ac:dyDescent="0.25">
      <c r="A440" s="61"/>
      <c r="B440" s="61"/>
      <c r="C440" s="61"/>
      <c r="D440" s="135"/>
      <c r="E440" s="64"/>
      <c r="F440" s="64"/>
      <c r="G440" s="64"/>
      <c r="H440" s="64"/>
      <c r="I440" s="137" t="str">
        <f t="shared" si="24"/>
        <v/>
      </c>
      <c r="J440" s="137" t="str">
        <f t="shared" si="25"/>
        <v/>
      </c>
      <c r="K440" s="138" t="str">
        <f t="shared" si="26"/>
        <v/>
      </c>
      <c r="L440" s="138" t="str">
        <f t="shared" si="27"/>
        <v/>
      </c>
      <c r="M440" s="61"/>
      <c r="N440" s="61"/>
      <c r="O440" s="61"/>
      <c r="P440" s="61"/>
    </row>
    <row r="441" spans="1:16" ht="15" customHeight="1" x14ac:dyDescent="0.25">
      <c r="A441" s="61"/>
      <c r="B441" s="61"/>
      <c r="C441" s="61"/>
      <c r="D441" s="135"/>
      <c r="E441" s="64"/>
      <c r="F441" s="64"/>
      <c r="G441" s="64"/>
      <c r="H441" s="64"/>
      <c r="I441" s="137" t="str">
        <f t="shared" si="24"/>
        <v/>
      </c>
      <c r="J441" s="137" t="str">
        <f t="shared" si="25"/>
        <v/>
      </c>
      <c r="K441" s="138" t="str">
        <f t="shared" si="26"/>
        <v/>
      </c>
      <c r="L441" s="138" t="str">
        <f t="shared" si="27"/>
        <v/>
      </c>
      <c r="M441" s="61"/>
      <c r="N441" s="61"/>
      <c r="O441" s="61"/>
      <c r="P441" s="61"/>
    </row>
    <row r="442" spans="1:16" ht="15" customHeight="1" x14ac:dyDescent="0.25">
      <c r="A442" s="61"/>
      <c r="B442" s="61"/>
      <c r="C442" s="61"/>
      <c r="D442" s="135"/>
      <c r="E442" s="64"/>
      <c r="F442" s="64"/>
      <c r="G442" s="64"/>
      <c r="H442" s="64"/>
      <c r="I442" s="137" t="str">
        <f t="shared" si="24"/>
        <v/>
      </c>
      <c r="J442" s="137" t="str">
        <f t="shared" si="25"/>
        <v/>
      </c>
      <c r="K442" s="138" t="str">
        <f t="shared" si="26"/>
        <v/>
      </c>
      <c r="L442" s="138" t="str">
        <f t="shared" si="27"/>
        <v/>
      </c>
      <c r="M442" s="61"/>
      <c r="N442" s="61"/>
      <c r="O442" s="61"/>
      <c r="P442" s="61"/>
    </row>
    <row r="443" spans="1:16" ht="15" customHeight="1" x14ac:dyDescent="0.25">
      <c r="A443" s="61"/>
      <c r="B443" s="61"/>
      <c r="C443" s="61"/>
      <c r="D443" s="135"/>
      <c r="E443" s="64"/>
      <c r="F443" s="64"/>
      <c r="G443" s="64"/>
      <c r="H443" s="64"/>
      <c r="I443" s="137" t="str">
        <f t="shared" si="24"/>
        <v/>
      </c>
      <c r="J443" s="137" t="str">
        <f t="shared" si="25"/>
        <v/>
      </c>
      <c r="K443" s="138" t="str">
        <f t="shared" si="26"/>
        <v/>
      </c>
      <c r="L443" s="138" t="str">
        <f t="shared" si="27"/>
        <v/>
      </c>
      <c r="M443" s="61"/>
      <c r="N443" s="61"/>
      <c r="O443" s="61"/>
      <c r="P443" s="61"/>
    </row>
    <row r="444" spans="1:16" ht="15" customHeight="1" x14ac:dyDescent="0.25">
      <c r="A444" s="61"/>
      <c r="B444" s="61"/>
      <c r="C444" s="61"/>
      <c r="D444" s="135"/>
      <c r="E444" s="64"/>
      <c r="F444" s="64"/>
      <c r="G444" s="64"/>
      <c r="H444" s="64"/>
      <c r="I444" s="137" t="str">
        <f t="shared" si="24"/>
        <v/>
      </c>
      <c r="J444" s="137" t="str">
        <f t="shared" si="25"/>
        <v/>
      </c>
      <c r="K444" s="138" t="str">
        <f t="shared" si="26"/>
        <v/>
      </c>
      <c r="L444" s="138" t="str">
        <f t="shared" si="27"/>
        <v/>
      </c>
      <c r="M444" s="61"/>
      <c r="N444" s="61"/>
      <c r="O444" s="61"/>
      <c r="P444" s="61"/>
    </row>
    <row r="445" spans="1:16" ht="15" customHeight="1" x14ac:dyDescent="0.25">
      <c r="A445" s="61"/>
      <c r="B445" s="61"/>
      <c r="C445" s="61"/>
      <c r="D445" s="135"/>
      <c r="E445" s="64"/>
      <c r="F445" s="64"/>
      <c r="G445" s="64"/>
      <c r="H445" s="64"/>
      <c r="I445" s="137" t="str">
        <f t="shared" si="24"/>
        <v/>
      </c>
      <c r="J445" s="137" t="str">
        <f t="shared" si="25"/>
        <v/>
      </c>
      <c r="K445" s="138" t="str">
        <f t="shared" si="26"/>
        <v/>
      </c>
      <c r="L445" s="138" t="str">
        <f t="shared" si="27"/>
        <v/>
      </c>
      <c r="M445" s="61"/>
      <c r="N445" s="61"/>
      <c r="O445" s="61"/>
      <c r="P445" s="61"/>
    </row>
    <row r="446" spans="1:16" ht="15" customHeight="1" x14ac:dyDescent="0.25">
      <c r="A446" s="61"/>
      <c r="B446" s="61"/>
      <c r="C446" s="61"/>
      <c r="D446" s="135"/>
      <c r="E446" s="64"/>
      <c r="F446" s="64"/>
      <c r="G446" s="64"/>
      <c r="H446" s="64"/>
      <c r="I446" s="137" t="str">
        <f t="shared" si="24"/>
        <v/>
      </c>
      <c r="J446" s="137" t="str">
        <f t="shared" si="25"/>
        <v/>
      </c>
      <c r="K446" s="138" t="str">
        <f t="shared" si="26"/>
        <v/>
      </c>
      <c r="L446" s="138" t="str">
        <f t="shared" si="27"/>
        <v/>
      </c>
      <c r="M446" s="61"/>
      <c r="N446" s="61"/>
      <c r="O446" s="61"/>
      <c r="P446" s="61"/>
    </row>
    <row r="447" spans="1:16" ht="15" customHeight="1" x14ac:dyDescent="0.25">
      <c r="A447" s="61"/>
      <c r="B447" s="61"/>
      <c r="C447" s="61"/>
      <c r="D447" s="135"/>
      <c r="E447" s="64"/>
      <c r="F447" s="64"/>
      <c r="G447" s="64"/>
      <c r="H447" s="64"/>
      <c r="I447" s="137" t="str">
        <f t="shared" si="24"/>
        <v/>
      </c>
      <c r="J447" s="137" t="str">
        <f t="shared" si="25"/>
        <v/>
      </c>
      <c r="K447" s="138" t="str">
        <f t="shared" si="26"/>
        <v/>
      </c>
      <c r="L447" s="138" t="str">
        <f t="shared" si="27"/>
        <v/>
      </c>
      <c r="M447" s="61"/>
      <c r="N447" s="61"/>
      <c r="O447" s="61"/>
      <c r="P447" s="61"/>
    </row>
    <row r="448" spans="1:16" ht="15" customHeight="1" x14ac:dyDescent="0.25">
      <c r="A448" s="61"/>
      <c r="B448" s="61"/>
      <c r="C448" s="61"/>
      <c r="D448" s="135"/>
      <c r="E448" s="64"/>
      <c r="F448" s="64"/>
      <c r="G448" s="64"/>
      <c r="H448" s="64"/>
      <c r="I448" s="137" t="str">
        <f t="shared" si="24"/>
        <v/>
      </c>
      <c r="J448" s="137" t="str">
        <f t="shared" si="25"/>
        <v/>
      </c>
      <c r="K448" s="138" t="str">
        <f t="shared" si="26"/>
        <v/>
      </c>
      <c r="L448" s="138" t="str">
        <f t="shared" si="27"/>
        <v/>
      </c>
      <c r="M448" s="61"/>
      <c r="N448" s="61"/>
      <c r="O448" s="61"/>
      <c r="P448" s="61"/>
    </row>
    <row r="449" spans="1:16" ht="15" customHeight="1" x14ac:dyDescent="0.25">
      <c r="A449" s="61"/>
      <c r="B449" s="61"/>
      <c r="C449" s="61"/>
      <c r="D449" s="135"/>
      <c r="E449" s="64"/>
      <c r="F449" s="64"/>
      <c r="G449" s="64"/>
      <c r="H449" s="64"/>
      <c r="I449" s="137" t="str">
        <f t="shared" si="24"/>
        <v/>
      </c>
      <c r="J449" s="137" t="str">
        <f t="shared" si="25"/>
        <v/>
      </c>
      <c r="K449" s="138" t="str">
        <f t="shared" si="26"/>
        <v/>
      </c>
      <c r="L449" s="138" t="str">
        <f t="shared" si="27"/>
        <v/>
      </c>
      <c r="M449" s="61"/>
      <c r="N449" s="61"/>
      <c r="O449" s="61"/>
      <c r="P449" s="61"/>
    </row>
    <row r="450" spans="1:16" ht="15" customHeight="1" x14ac:dyDescent="0.25">
      <c r="A450" s="61"/>
      <c r="B450" s="61"/>
      <c r="C450" s="61"/>
      <c r="D450" s="135"/>
      <c r="E450" s="64"/>
      <c r="F450" s="64"/>
      <c r="G450" s="64"/>
      <c r="H450" s="64"/>
      <c r="I450" s="137" t="str">
        <f t="shared" si="24"/>
        <v/>
      </c>
      <c r="J450" s="137" t="str">
        <f t="shared" si="25"/>
        <v/>
      </c>
      <c r="K450" s="138" t="str">
        <f t="shared" si="26"/>
        <v/>
      </c>
      <c r="L450" s="138" t="str">
        <f t="shared" si="27"/>
        <v/>
      </c>
      <c r="M450" s="61"/>
      <c r="N450" s="61"/>
      <c r="O450" s="61"/>
      <c r="P450" s="61"/>
    </row>
    <row r="451" spans="1:16" ht="15" customHeight="1" x14ac:dyDescent="0.25">
      <c r="A451" s="61"/>
      <c r="B451" s="61"/>
      <c r="C451" s="61"/>
      <c r="D451" s="135"/>
      <c r="E451" s="64"/>
      <c r="F451" s="64"/>
      <c r="G451" s="64"/>
      <c r="H451" s="64"/>
      <c r="I451" s="137" t="str">
        <f t="shared" ref="I451:I502" si="28">IFERROR(IF(E451="","",E451*F451*H451/1000000),"")</f>
        <v/>
      </c>
      <c r="J451" s="137" t="str">
        <f t="shared" ref="J451:J502" si="29">IFERROR(IF(E451="","",(E451+F451)*H451/1000),"")</f>
        <v/>
      </c>
      <c r="K451" s="138" t="str">
        <f t="shared" ref="K451:K502" si="30">IFERROR(IF(D451="","",VLOOKUP(D451,Materials_Table,6,FALSE())),"")</f>
        <v/>
      </c>
      <c r="L451" s="138" t="str">
        <f t="shared" ref="L451:L502" si="31">IFERROR(IF(OR(I451="",K451=""),"",I451*K451),"")</f>
        <v/>
      </c>
      <c r="M451" s="61"/>
      <c r="N451" s="61"/>
      <c r="O451" s="61"/>
      <c r="P451" s="61"/>
    </row>
    <row r="452" spans="1:16" ht="15" customHeight="1" x14ac:dyDescent="0.25">
      <c r="A452" s="61"/>
      <c r="B452" s="61"/>
      <c r="C452" s="61"/>
      <c r="D452" s="135"/>
      <c r="E452" s="64"/>
      <c r="F452" s="64"/>
      <c r="G452" s="64"/>
      <c r="H452" s="64"/>
      <c r="I452" s="137" t="str">
        <f t="shared" si="28"/>
        <v/>
      </c>
      <c r="J452" s="137" t="str">
        <f t="shared" si="29"/>
        <v/>
      </c>
      <c r="K452" s="138" t="str">
        <f t="shared" si="30"/>
        <v/>
      </c>
      <c r="L452" s="138" t="str">
        <f t="shared" si="31"/>
        <v/>
      </c>
      <c r="M452" s="61"/>
      <c r="N452" s="61"/>
      <c r="O452" s="61"/>
      <c r="P452" s="61"/>
    </row>
    <row r="453" spans="1:16" ht="15" customHeight="1" x14ac:dyDescent="0.25">
      <c r="A453" s="61"/>
      <c r="B453" s="61"/>
      <c r="C453" s="61"/>
      <c r="D453" s="135"/>
      <c r="E453" s="64"/>
      <c r="F453" s="64"/>
      <c r="G453" s="64"/>
      <c r="H453" s="64"/>
      <c r="I453" s="137" t="str">
        <f t="shared" si="28"/>
        <v/>
      </c>
      <c r="J453" s="137" t="str">
        <f t="shared" si="29"/>
        <v/>
      </c>
      <c r="K453" s="138" t="str">
        <f t="shared" si="30"/>
        <v/>
      </c>
      <c r="L453" s="138" t="str">
        <f t="shared" si="31"/>
        <v/>
      </c>
      <c r="M453" s="61"/>
      <c r="N453" s="61"/>
      <c r="O453" s="61"/>
      <c r="P453" s="61"/>
    </row>
    <row r="454" spans="1:16" ht="15" customHeight="1" x14ac:dyDescent="0.25">
      <c r="A454" s="61"/>
      <c r="B454" s="61"/>
      <c r="C454" s="61"/>
      <c r="D454" s="135"/>
      <c r="E454" s="64"/>
      <c r="F454" s="64"/>
      <c r="G454" s="64"/>
      <c r="H454" s="64"/>
      <c r="I454" s="137" t="str">
        <f t="shared" si="28"/>
        <v/>
      </c>
      <c r="J454" s="137" t="str">
        <f t="shared" si="29"/>
        <v/>
      </c>
      <c r="K454" s="138" t="str">
        <f t="shared" si="30"/>
        <v/>
      </c>
      <c r="L454" s="138" t="str">
        <f t="shared" si="31"/>
        <v/>
      </c>
      <c r="M454" s="61"/>
      <c r="N454" s="61"/>
      <c r="O454" s="61"/>
      <c r="P454" s="61"/>
    </row>
    <row r="455" spans="1:16" ht="15" customHeight="1" x14ac:dyDescent="0.25">
      <c r="A455" s="61"/>
      <c r="B455" s="61"/>
      <c r="C455" s="61"/>
      <c r="D455" s="135"/>
      <c r="E455" s="64"/>
      <c r="F455" s="64"/>
      <c r="G455" s="64"/>
      <c r="H455" s="64"/>
      <c r="I455" s="137" t="str">
        <f t="shared" si="28"/>
        <v/>
      </c>
      <c r="J455" s="137" t="str">
        <f t="shared" si="29"/>
        <v/>
      </c>
      <c r="K455" s="138" t="str">
        <f t="shared" si="30"/>
        <v/>
      </c>
      <c r="L455" s="138" t="str">
        <f t="shared" si="31"/>
        <v/>
      </c>
      <c r="M455" s="61"/>
      <c r="N455" s="61"/>
      <c r="O455" s="61"/>
      <c r="P455" s="61"/>
    </row>
    <row r="456" spans="1:16" ht="15" customHeight="1" x14ac:dyDescent="0.25">
      <c r="A456" s="61"/>
      <c r="B456" s="61"/>
      <c r="C456" s="61"/>
      <c r="D456" s="135"/>
      <c r="E456" s="64"/>
      <c r="F456" s="64"/>
      <c r="G456" s="64"/>
      <c r="H456" s="64"/>
      <c r="I456" s="137" t="str">
        <f t="shared" si="28"/>
        <v/>
      </c>
      <c r="J456" s="137" t="str">
        <f t="shared" si="29"/>
        <v/>
      </c>
      <c r="K456" s="138" t="str">
        <f t="shared" si="30"/>
        <v/>
      </c>
      <c r="L456" s="138" t="str">
        <f t="shared" si="31"/>
        <v/>
      </c>
      <c r="M456" s="61"/>
      <c r="N456" s="61"/>
      <c r="O456" s="61"/>
      <c r="P456" s="61"/>
    </row>
    <row r="457" spans="1:16" ht="15" customHeight="1" x14ac:dyDescent="0.25">
      <c r="A457" s="61"/>
      <c r="B457" s="61"/>
      <c r="C457" s="61"/>
      <c r="D457" s="135"/>
      <c r="E457" s="64"/>
      <c r="F457" s="64"/>
      <c r="G457" s="64"/>
      <c r="H457" s="64"/>
      <c r="I457" s="137" t="str">
        <f t="shared" si="28"/>
        <v/>
      </c>
      <c r="J457" s="137" t="str">
        <f t="shared" si="29"/>
        <v/>
      </c>
      <c r="K457" s="138" t="str">
        <f t="shared" si="30"/>
        <v/>
      </c>
      <c r="L457" s="138" t="str">
        <f t="shared" si="31"/>
        <v/>
      </c>
      <c r="M457" s="61"/>
      <c r="N457" s="61"/>
      <c r="O457" s="61"/>
      <c r="P457" s="61"/>
    </row>
    <row r="458" spans="1:16" ht="15" customHeight="1" x14ac:dyDescent="0.25">
      <c r="A458" s="61"/>
      <c r="B458" s="61"/>
      <c r="C458" s="61"/>
      <c r="D458" s="135"/>
      <c r="E458" s="64"/>
      <c r="F458" s="64"/>
      <c r="G458" s="64"/>
      <c r="H458" s="64"/>
      <c r="I458" s="137" t="str">
        <f t="shared" si="28"/>
        <v/>
      </c>
      <c r="J458" s="137" t="str">
        <f t="shared" si="29"/>
        <v/>
      </c>
      <c r="K458" s="138" t="str">
        <f t="shared" si="30"/>
        <v/>
      </c>
      <c r="L458" s="138" t="str">
        <f t="shared" si="31"/>
        <v/>
      </c>
      <c r="M458" s="61"/>
      <c r="N458" s="61"/>
      <c r="O458" s="61"/>
      <c r="P458" s="61"/>
    </row>
    <row r="459" spans="1:16" ht="15" customHeight="1" x14ac:dyDescent="0.25">
      <c r="A459" s="61"/>
      <c r="B459" s="61"/>
      <c r="C459" s="61"/>
      <c r="D459" s="135"/>
      <c r="E459" s="64"/>
      <c r="F459" s="64"/>
      <c r="G459" s="64"/>
      <c r="H459" s="64"/>
      <c r="I459" s="137" t="str">
        <f t="shared" si="28"/>
        <v/>
      </c>
      <c r="J459" s="137" t="str">
        <f t="shared" si="29"/>
        <v/>
      </c>
      <c r="K459" s="138" t="str">
        <f t="shared" si="30"/>
        <v/>
      </c>
      <c r="L459" s="138" t="str">
        <f t="shared" si="31"/>
        <v/>
      </c>
      <c r="M459" s="61"/>
      <c r="N459" s="61"/>
      <c r="O459" s="61"/>
      <c r="P459" s="61"/>
    </row>
    <row r="460" spans="1:16" ht="15" customHeight="1" x14ac:dyDescent="0.25">
      <c r="A460" s="61"/>
      <c r="B460" s="61"/>
      <c r="C460" s="61"/>
      <c r="D460" s="135"/>
      <c r="E460" s="64"/>
      <c r="F460" s="64"/>
      <c r="G460" s="64"/>
      <c r="H460" s="64"/>
      <c r="I460" s="137" t="str">
        <f t="shared" si="28"/>
        <v/>
      </c>
      <c r="J460" s="137" t="str">
        <f t="shared" si="29"/>
        <v/>
      </c>
      <c r="K460" s="138" t="str">
        <f t="shared" si="30"/>
        <v/>
      </c>
      <c r="L460" s="138" t="str">
        <f t="shared" si="31"/>
        <v/>
      </c>
      <c r="M460" s="61"/>
      <c r="N460" s="61"/>
      <c r="O460" s="61"/>
      <c r="P460" s="61"/>
    </row>
    <row r="461" spans="1:16" ht="15" customHeight="1" x14ac:dyDescent="0.25">
      <c r="A461" s="61"/>
      <c r="B461" s="61"/>
      <c r="C461" s="61"/>
      <c r="D461" s="135"/>
      <c r="E461" s="64"/>
      <c r="F461" s="64"/>
      <c r="G461" s="64"/>
      <c r="H461" s="64"/>
      <c r="I461" s="137" t="str">
        <f t="shared" si="28"/>
        <v/>
      </c>
      <c r="J461" s="137" t="str">
        <f t="shared" si="29"/>
        <v/>
      </c>
      <c r="K461" s="138" t="str">
        <f t="shared" si="30"/>
        <v/>
      </c>
      <c r="L461" s="138" t="str">
        <f t="shared" si="31"/>
        <v/>
      </c>
      <c r="M461" s="61"/>
      <c r="N461" s="61"/>
      <c r="O461" s="61"/>
      <c r="P461" s="61"/>
    </row>
    <row r="462" spans="1:16" ht="15" customHeight="1" x14ac:dyDescent="0.25">
      <c r="A462" s="61"/>
      <c r="B462" s="61"/>
      <c r="C462" s="61"/>
      <c r="D462" s="135"/>
      <c r="E462" s="64"/>
      <c r="F462" s="64"/>
      <c r="G462" s="64"/>
      <c r="H462" s="64"/>
      <c r="I462" s="137" t="str">
        <f t="shared" si="28"/>
        <v/>
      </c>
      <c r="J462" s="137" t="str">
        <f t="shared" si="29"/>
        <v/>
      </c>
      <c r="K462" s="138" t="str">
        <f t="shared" si="30"/>
        <v/>
      </c>
      <c r="L462" s="138" t="str">
        <f t="shared" si="31"/>
        <v/>
      </c>
      <c r="M462" s="61"/>
      <c r="N462" s="61"/>
      <c r="O462" s="61"/>
      <c r="P462" s="61"/>
    </row>
    <row r="463" spans="1:16" ht="15" customHeight="1" x14ac:dyDescent="0.25">
      <c r="A463" s="61"/>
      <c r="B463" s="61"/>
      <c r="C463" s="61"/>
      <c r="D463" s="135"/>
      <c r="E463" s="64"/>
      <c r="F463" s="64"/>
      <c r="G463" s="64"/>
      <c r="H463" s="64"/>
      <c r="I463" s="137" t="str">
        <f t="shared" si="28"/>
        <v/>
      </c>
      <c r="J463" s="137" t="str">
        <f t="shared" si="29"/>
        <v/>
      </c>
      <c r="K463" s="138" t="str">
        <f t="shared" si="30"/>
        <v/>
      </c>
      <c r="L463" s="138" t="str">
        <f t="shared" si="31"/>
        <v/>
      </c>
      <c r="M463" s="61"/>
      <c r="N463" s="61"/>
      <c r="O463" s="61"/>
      <c r="P463" s="61"/>
    </row>
    <row r="464" spans="1:16" ht="15" customHeight="1" x14ac:dyDescent="0.25">
      <c r="A464" s="61"/>
      <c r="B464" s="61"/>
      <c r="C464" s="61"/>
      <c r="D464" s="135"/>
      <c r="E464" s="64"/>
      <c r="F464" s="64"/>
      <c r="G464" s="64"/>
      <c r="H464" s="64"/>
      <c r="I464" s="137" t="str">
        <f t="shared" si="28"/>
        <v/>
      </c>
      <c r="J464" s="137" t="str">
        <f t="shared" si="29"/>
        <v/>
      </c>
      <c r="K464" s="138" t="str">
        <f t="shared" si="30"/>
        <v/>
      </c>
      <c r="L464" s="138" t="str">
        <f t="shared" si="31"/>
        <v/>
      </c>
      <c r="M464" s="61"/>
      <c r="N464" s="61"/>
      <c r="O464" s="61"/>
      <c r="P464" s="61"/>
    </row>
    <row r="465" spans="1:16" ht="15" customHeight="1" x14ac:dyDescent="0.25">
      <c r="A465" s="61"/>
      <c r="B465" s="61"/>
      <c r="C465" s="61"/>
      <c r="D465" s="135"/>
      <c r="E465" s="64"/>
      <c r="F465" s="64"/>
      <c r="G465" s="64"/>
      <c r="H465" s="64"/>
      <c r="I465" s="137" t="str">
        <f t="shared" si="28"/>
        <v/>
      </c>
      <c r="J465" s="137" t="str">
        <f t="shared" si="29"/>
        <v/>
      </c>
      <c r="K465" s="138" t="str">
        <f t="shared" si="30"/>
        <v/>
      </c>
      <c r="L465" s="138" t="str">
        <f t="shared" si="31"/>
        <v/>
      </c>
      <c r="M465" s="61"/>
      <c r="N465" s="61"/>
      <c r="O465" s="61"/>
      <c r="P465" s="61"/>
    </row>
    <row r="466" spans="1:16" ht="15" customHeight="1" x14ac:dyDescent="0.25">
      <c r="A466" s="61"/>
      <c r="B466" s="61"/>
      <c r="C466" s="61"/>
      <c r="D466" s="135"/>
      <c r="E466" s="64"/>
      <c r="F466" s="64"/>
      <c r="G466" s="64"/>
      <c r="H466" s="64"/>
      <c r="I466" s="137" t="str">
        <f t="shared" si="28"/>
        <v/>
      </c>
      <c r="J466" s="137" t="str">
        <f t="shared" si="29"/>
        <v/>
      </c>
      <c r="K466" s="138" t="str">
        <f t="shared" si="30"/>
        <v/>
      </c>
      <c r="L466" s="138" t="str">
        <f t="shared" si="31"/>
        <v/>
      </c>
      <c r="M466" s="61"/>
      <c r="N466" s="61"/>
      <c r="O466" s="61"/>
      <c r="P466" s="61"/>
    </row>
    <row r="467" spans="1:16" ht="15" customHeight="1" x14ac:dyDescent="0.25">
      <c r="A467" s="61"/>
      <c r="B467" s="61"/>
      <c r="C467" s="61"/>
      <c r="D467" s="135"/>
      <c r="E467" s="64"/>
      <c r="F467" s="64"/>
      <c r="G467" s="64"/>
      <c r="H467" s="64"/>
      <c r="I467" s="137" t="str">
        <f t="shared" si="28"/>
        <v/>
      </c>
      <c r="J467" s="137" t="str">
        <f t="shared" si="29"/>
        <v/>
      </c>
      <c r="K467" s="138" t="str">
        <f t="shared" si="30"/>
        <v/>
      </c>
      <c r="L467" s="138" t="str">
        <f t="shared" si="31"/>
        <v/>
      </c>
      <c r="M467" s="61"/>
      <c r="N467" s="61"/>
      <c r="O467" s="61"/>
      <c r="P467" s="61"/>
    </row>
    <row r="468" spans="1:16" ht="15" customHeight="1" x14ac:dyDescent="0.25">
      <c r="A468" s="61"/>
      <c r="B468" s="61"/>
      <c r="C468" s="61"/>
      <c r="D468" s="135"/>
      <c r="E468" s="64"/>
      <c r="F468" s="64"/>
      <c r="G468" s="64"/>
      <c r="H468" s="64"/>
      <c r="I468" s="137" t="str">
        <f t="shared" si="28"/>
        <v/>
      </c>
      <c r="J468" s="137" t="str">
        <f t="shared" si="29"/>
        <v/>
      </c>
      <c r="K468" s="138" t="str">
        <f t="shared" si="30"/>
        <v/>
      </c>
      <c r="L468" s="138" t="str">
        <f t="shared" si="31"/>
        <v/>
      </c>
      <c r="M468" s="61"/>
      <c r="N468" s="61"/>
      <c r="O468" s="61"/>
      <c r="P468" s="61"/>
    </row>
    <row r="469" spans="1:16" ht="15" customHeight="1" x14ac:dyDescent="0.25">
      <c r="A469" s="61"/>
      <c r="B469" s="61"/>
      <c r="C469" s="61"/>
      <c r="D469" s="135"/>
      <c r="E469" s="64"/>
      <c r="F469" s="64"/>
      <c r="G469" s="64"/>
      <c r="H469" s="64"/>
      <c r="I469" s="137" t="str">
        <f t="shared" si="28"/>
        <v/>
      </c>
      <c r="J469" s="137" t="str">
        <f t="shared" si="29"/>
        <v/>
      </c>
      <c r="K469" s="138" t="str">
        <f t="shared" si="30"/>
        <v/>
      </c>
      <c r="L469" s="138" t="str">
        <f t="shared" si="31"/>
        <v/>
      </c>
      <c r="M469" s="61"/>
      <c r="N469" s="61"/>
      <c r="O469" s="61"/>
      <c r="P469" s="61"/>
    </row>
    <row r="470" spans="1:16" ht="15" customHeight="1" x14ac:dyDescent="0.25">
      <c r="A470" s="61"/>
      <c r="B470" s="61"/>
      <c r="C470" s="61"/>
      <c r="D470" s="135"/>
      <c r="E470" s="64"/>
      <c r="F470" s="64"/>
      <c r="G470" s="64"/>
      <c r="H470" s="64"/>
      <c r="I470" s="137" t="str">
        <f t="shared" si="28"/>
        <v/>
      </c>
      <c r="J470" s="137" t="str">
        <f t="shared" si="29"/>
        <v/>
      </c>
      <c r="K470" s="138" t="str">
        <f t="shared" si="30"/>
        <v/>
      </c>
      <c r="L470" s="138" t="str">
        <f t="shared" si="31"/>
        <v/>
      </c>
      <c r="M470" s="61"/>
      <c r="N470" s="61"/>
      <c r="O470" s="61"/>
      <c r="P470" s="61"/>
    </row>
    <row r="471" spans="1:16" ht="15" customHeight="1" x14ac:dyDescent="0.25">
      <c r="A471" s="61"/>
      <c r="B471" s="61"/>
      <c r="C471" s="61"/>
      <c r="D471" s="135"/>
      <c r="E471" s="64"/>
      <c r="F471" s="64"/>
      <c r="G471" s="64"/>
      <c r="H471" s="64"/>
      <c r="I471" s="137" t="str">
        <f t="shared" si="28"/>
        <v/>
      </c>
      <c r="J471" s="137" t="str">
        <f t="shared" si="29"/>
        <v/>
      </c>
      <c r="K471" s="138" t="str">
        <f t="shared" si="30"/>
        <v/>
      </c>
      <c r="L471" s="138" t="str">
        <f t="shared" si="31"/>
        <v/>
      </c>
      <c r="M471" s="61"/>
      <c r="N471" s="61"/>
      <c r="O471" s="61"/>
      <c r="P471" s="61"/>
    </row>
    <row r="472" spans="1:16" ht="15" customHeight="1" x14ac:dyDescent="0.25">
      <c r="A472" s="61"/>
      <c r="B472" s="61"/>
      <c r="C472" s="61"/>
      <c r="D472" s="135"/>
      <c r="E472" s="64"/>
      <c r="F472" s="64"/>
      <c r="G472" s="64"/>
      <c r="H472" s="64"/>
      <c r="I472" s="137" t="str">
        <f t="shared" si="28"/>
        <v/>
      </c>
      <c r="J472" s="137" t="str">
        <f t="shared" si="29"/>
        <v/>
      </c>
      <c r="K472" s="138" t="str">
        <f t="shared" si="30"/>
        <v/>
      </c>
      <c r="L472" s="138" t="str">
        <f t="shared" si="31"/>
        <v/>
      </c>
      <c r="M472" s="61"/>
      <c r="N472" s="61"/>
      <c r="O472" s="61"/>
      <c r="P472" s="61"/>
    </row>
    <row r="473" spans="1:16" ht="15" customHeight="1" x14ac:dyDescent="0.25">
      <c r="A473" s="61"/>
      <c r="B473" s="61"/>
      <c r="C473" s="61"/>
      <c r="D473" s="135"/>
      <c r="E473" s="64"/>
      <c r="F473" s="64"/>
      <c r="G473" s="64"/>
      <c r="H473" s="64"/>
      <c r="I473" s="137" t="str">
        <f t="shared" si="28"/>
        <v/>
      </c>
      <c r="J473" s="137" t="str">
        <f t="shared" si="29"/>
        <v/>
      </c>
      <c r="K473" s="138" t="str">
        <f t="shared" si="30"/>
        <v/>
      </c>
      <c r="L473" s="138" t="str">
        <f t="shared" si="31"/>
        <v/>
      </c>
      <c r="M473" s="61"/>
      <c r="N473" s="61"/>
      <c r="O473" s="61"/>
      <c r="P473" s="61"/>
    </row>
    <row r="474" spans="1:16" ht="15" customHeight="1" x14ac:dyDescent="0.25">
      <c r="A474" s="61"/>
      <c r="B474" s="61"/>
      <c r="C474" s="61"/>
      <c r="D474" s="135"/>
      <c r="E474" s="64"/>
      <c r="F474" s="64"/>
      <c r="G474" s="64"/>
      <c r="H474" s="64"/>
      <c r="I474" s="137" t="str">
        <f t="shared" si="28"/>
        <v/>
      </c>
      <c r="J474" s="137" t="str">
        <f t="shared" si="29"/>
        <v/>
      </c>
      <c r="K474" s="138" t="str">
        <f t="shared" si="30"/>
        <v/>
      </c>
      <c r="L474" s="138" t="str">
        <f t="shared" si="31"/>
        <v/>
      </c>
      <c r="M474" s="61"/>
      <c r="N474" s="61"/>
      <c r="O474" s="61"/>
      <c r="P474" s="61"/>
    </row>
    <row r="475" spans="1:16" ht="15" customHeight="1" x14ac:dyDescent="0.25">
      <c r="A475" s="61"/>
      <c r="B475" s="61"/>
      <c r="C475" s="61"/>
      <c r="D475" s="135"/>
      <c r="E475" s="64"/>
      <c r="F475" s="64"/>
      <c r="G475" s="64"/>
      <c r="H475" s="64"/>
      <c r="I475" s="137" t="str">
        <f t="shared" si="28"/>
        <v/>
      </c>
      <c r="J475" s="137" t="str">
        <f t="shared" si="29"/>
        <v/>
      </c>
      <c r="K475" s="138" t="str">
        <f t="shared" si="30"/>
        <v/>
      </c>
      <c r="L475" s="138" t="str">
        <f t="shared" si="31"/>
        <v/>
      </c>
      <c r="M475" s="61"/>
      <c r="N475" s="61"/>
      <c r="O475" s="61"/>
      <c r="P475" s="61"/>
    </row>
    <row r="476" spans="1:16" ht="15" customHeight="1" x14ac:dyDescent="0.25">
      <c r="A476" s="61"/>
      <c r="B476" s="61"/>
      <c r="C476" s="61"/>
      <c r="D476" s="135"/>
      <c r="E476" s="64"/>
      <c r="F476" s="64"/>
      <c r="G476" s="64"/>
      <c r="H476" s="64"/>
      <c r="I476" s="137" t="str">
        <f t="shared" si="28"/>
        <v/>
      </c>
      <c r="J476" s="137" t="str">
        <f t="shared" si="29"/>
        <v/>
      </c>
      <c r="K476" s="138" t="str">
        <f t="shared" si="30"/>
        <v/>
      </c>
      <c r="L476" s="138" t="str">
        <f t="shared" si="31"/>
        <v/>
      </c>
      <c r="M476" s="61"/>
      <c r="N476" s="61"/>
      <c r="O476" s="61"/>
      <c r="P476" s="61"/>
    </row>
    <row r="477" spans="1:16" ht="15" customHeight="1" x14ac:dyDescent="0.25">
      <c r="A477" s="61"/>
      <c r="B477" s="61"/>
      <c r="C477" s="61"/>
      <c r="D477" s="135"/>
      <c r="E477" s="64"/>
      <c r="F477" s="64"/>
      <c r="G477" s="64"/>
      <c r="H477" s="64"/>
      <c r="I477" s="137" t="str">
        <f t="shared" si="28"/>
        <v/>
      </c>
      <c r="J477" s="137" t="str">
        <f t="shared" si="29"/>
        <v/>
      </c>
      <c r="K477" s="138" t="str">
        <f t="shared" si="30"/>
        <v/>
      </c>
      <c r="L477" s="138" t="str">
        <f t="shared" si="31"/>
        <v/>
      </c>
      <c r="M477" s="61"/>
      <c r="N477" s="61"/>
      <c r="O477" s="61"/>
      <c r="P477" s="61"/>
    </row>
    <row r="478" spans="1:16" ht="15" customHeight="1" x14ac:dyDescent="0.25">
      <c r="A478" s="61"/>
      <c r="B478" s="61"/>
      <c r="C478" s="61"/>
      <c r="D478" s="135"/>
      <c r="E478" s="64"/>
      <c r="F478" s="64"/>
      <c r="G478" s="64"/>
      <c r="H478" s="64"/>
      <c r="I478" s="137" t="str">
        <f t="shared" si="28"/>
        <v/>
      </c>
      <c r="J478" s="137" t="str">
        <f t="shared" si="29"/>
        <v/>
      </c>
      <c r="K478" s="138" t="str">
        <f t="shared" si="30"/>
        <v/>
      </c>
      <c r="L478" s="138" t="str">
        <f t="shared" si="31"/>
        <v/>
      </c>
      <c r="M478" s="61"/>
      <c r="N478" s="61"/>
      <c r="O478" s="61"/>
      <c r="P478" s="61"/>
    </row>
    <row r="479" spans="1:16" ht="15" customHeight="1" x14ac:dyDescent="0.25">
      <c r="A479" s="61"/>
      <c r="B479" s="61"/>
      <c r="C479" s="61"/>
      <c r="D479" s="135"/>
      <c r="E479" s="64"/>
      <c r="F479" s="64"/>
      <c r="G479" s="64"/>
      <c r="H479" s="64"/>
      <c r="I479" s="137" t="str">
        <f t="shared" si="28"/>
        <v/>
      </c>
      <c r="J479" s="137" t="str">
        <f t="shared" si="29"/>
        <v/>
      </c>
      <c r="K479" s="138" t="str">
        <f t="shared" si="30"/>
        <v/>
      </c>
      <c r="L479" s="138" t="str">
        <f t="shared" si="31"/>
        <v/>
      </c>
      <c r="M479" s="61"/>
      <c r="N479" s="61"/>
      <c r="O479" s="61"/>
      <c r="P479" s="61"/>
    </row>
    <row r="480" spans="1:16" ht="15" customHeight="1" x14ac:dyDescent="0.25">
      <c r="A480" s="61"/>
      <c r="B480" s="61"/>
      <c r="C480" s="61"/>
      <c r="D480" s="135"/>
      <c r="E480" s="64"/>
      <c r="F480" s="64"/>
      <c r="G480" s="64"/>
      <c r="H480" s="64"/>
      <c r="I480" s="137" t="str">
        <f t="shared" si="28"/>
        <v/>
      </c>
      <c r="J480" s="137" t="str">
        <f t="shared" si="29"/>
        <v/>
      </c>
      <c r="K480" s="138" t="str">
        <f t="shared" si="30"/>
        <v/>
      </c>
      <c r="L480" s="138" t="str">
        <f t="shared" si="31"/>
        <v/>
      </c>
      <c r="M480" s="61"/>
      <c r="N480" s="61"/>
      <c r="O480" s="61"/>
      <c r="P480" s="61"/>
    </row>
    <row r="481" spans="1:16" ht="15" customHeight="1" x14ac:dyDescent="0.25">
      <c r="A481" s="61"/>
      <c r="B481" s="61"/>
      <c r="C481" s="61"/>
      <c r="D481" s="135"/>
      <c r="E481" s="64"/>
      <c r="F481" s="64"/>
      <c r="G481" s="64"/>
      <c r="H481" s="64"/>
      <c r="I481" s="137" t="str">
        <f t="shared" si="28"/>
        <v/>
      </c>
      <c r="J481" s="137" t="str">
        <f t="shared" si="29"/>
        <v/>
      </c>
      <c r="K481" s="138" t="str">
        <f t="shared" si="30"/>
        <v/>
      </c>
      <c r="L481" s="138" t="str">
        <f t="shared" si="31"/>
        <v/>
      </c>
      <c r="M481" s="61"/>
      <c r="N481" s="61"/>
      <c r="O481" s="61"/>
      <c r="P481" s="61"/>
    </row>
    <row r="482" spans="1:16" ht="15" customHeight="1" x14ac:dyDescent="0.25">
      <c r="A482" s="61"/>
      <c r="B482" s="61"/>
      <c r="C482" s="61"/>
      <c r="D482" s="135"/>
      <c r="E482" s="64"/>
      <c r="F482" s="64"/>
      <c r="G482" s="64"/>
      <c r="H482" s="64"/>
      <c r="I482" s="137" t="str">
        <f t="shared" si="28"/>
        <v/>
      </c>
      <c r="J482" s="137" t="str">
        <f t="shared" si="29"/>
        <v/>
      </c>
      <c r="K482" s="138" t="str">
        <f t="shared" si="30"/>
        <v/>
      </c>
      <c r="L482" s="138" t="str">
        <f t="shared" si="31"/>
        <v/>
      </c>
      <c r="M482" s="61"/>
      <c r="N482" s="61"/>
      <c r="O482" s="61"/>
      <c r="P482" s="61"/>
    </row>
    <row r="483" spans="1:16" ht="15" customHeight="1" x14ac:dyDescent="0.25">
      <c r="A483" s="61"/>
      <c r="B483" s="61"/>
      <c r="C483" s="61"/>
      <c r="D483" s="135"/>
      <c r="E483" s="64"/>
      <c r="F483" s="64"/>
      <c r="G483" s="64"/>
      <c r="H483" s="64"/>
      <c r="I483" s="137" t="str">
        <f t="shared" si="28"/>
        <v/>
      </c>
      <c r="J483" s="137" t="str">
        <f t="shared" si="29"/>
        <v/>
      </c>
      <c r="K483" s="138" t="str">
        <f t="shared" si="30"/>
        <v/>
      </c>
      <c r="L483" s="138" t="str">
        <f t="shared" si="31"/>
        <v/>
      </c>
      <c r="M483" s="61"/>
      <c r="N483" s="61"/>
      <c r="O483" s="61"/>
      <c r="P483" s="61"/>
    </row>
    <row r="484" spans="1:16" ht="15" customHeight="1" x14ac:dyDescent="0.25">
      <c r="A484" s="61"/>
      <c r="B484" s="61"/>
      <c r="C484" s="61"/>
      <c r="D484" s="135"/>
      <c r="E484" s="64"/>
      <c r="F484" s="64"/>
      <c r="G484" s="64"/>
      <c r="H484" s="64"/>
      <c r="I484" s="137" t="str">
        <f t="shared" si="28"/>
        <v/>
      </c>
      <c r="J484" s="137" t="str">
        <f t="shared" si="29"/>
        <v/>
      </c>
      <c r="K484" s="138" t="str">
        <f t="shared" si="30"/>
        <v/>
      </c>
      <c r="L484" s="138" t="str">
        <f t="shared" si="31"/>
        <v/>
      </c>
      <c r="M484" s="61"/>
      <c r="N484" s="61"/>
      <c r="O484" s="61"/>
      <c r="P484" s="61"/>
    </row>
    <row r="485" spans="1:16" ht="15" customHeight="1" x14ac:dyDescent="0.25">
      <c r="A485" s="61"/>
      <c r="B485" s="61"/>
      <c r="C485" s="61"/>
      <c r="D485" s="135"/>
      <c r="E485" s="64"/>
      <c r="F485" s="64"/>
      <c r="G485" s="64"/>
      <c r="H485" s="64"/>
      <c r="I485" s="137" t="str">
        <f t="shared" si="28"/>
        <v/>
      </c>
      <c r="J485" s="137" t="str">
        <f t="shared" si="29"/>
        <v/>
      </c>
      <c r="K485" s="138" t="str">
        <f t="shared" si="30"/>
        <v/>
      </c>
      <c r="L485" s="138" t="str">
        <f t="shared" si="31"/>
        <v/>
      </c>
      <c r="M485" s="61"/>
      <c r="N485" s="61"/>
      <c r="O485" s="61"/>
      <c r="P485" s="61"/>
    </row>
    <row r="486" spans="1:16" ht="15" customHeight="1" x14ac:dyDescent="0.25">
      <c r="A486" s="61"/>
      <c r="B486" s="61"/>
      <c r="C486" s="61"/>
      <c r="D486" s="135"/>
      <c r="E486" s="64"/>
      <c r="F486" s="64"/>
      <c r="G486" s="64"/>
      <c r="H486" s="64"/>
      <c r="I486" s="137" t="str">
        <f t="shared" si="28"/>
        <v/>
      </c>
      <c r="J486" s="137" t="str">
        <f t="shared" si="29"/>
        <v/>
      </c>
      <c r="K486" s="138" t="str">
        <f t="shared" si="30"/>
        <v/>
      </c>
      <c r="L486" s="138" t="str">
        <f t="shared" si="31"/>
        <v/>
      </c>
      <c r="M486" s="61"/>
      <c r="N486" s="61"/>
      <c r="O486" s="61"/>
      <c r="P486" s="61"/>
    </row>
    <row r="487" spans="1:16" ht="15" customHeight="1" x14ac:dyDescent="0.25">
      <c r="A487" s="61"/>
      <c r="B487" s="61"/>
      <c r="C487" s="61"/>
      <c r="D487" s="135"/>
      <c r="E487" s="64"/>
      <c r="F487" s="64"/>
      <c r="G487" s="64"/>
      <c r="H487" s="64"/>
      <c r="I487" s="137" t="str">
        <f t="shared" si="28"/>
        <v/>
      </c>
      <c r="J487" s="137" t="str">
        <f t="shared" si="29"/>
        <v/>
      </c>
      <c r="K487" s="138" t="str">
        <f t="shared" si="30"/>
        <v/>
      </c>
      <c r="L487" s="138" t="str">
        <f t="shared" si="31"/>
        <v/>
      </c>
      <c r="M487" s="61"/>
      <c r="N487" s="61"/>
      <c r="O487" s="61"/>
      <c r="P487" s="61"/>
    </row>
    <row r="488" spans="1:16" ht="15" customHeight="1" x14ac:dyDescent="0.25">
      <c r="A488" s="61"/>
      <c r="B488" s="61"/>
      <c r="C488" s="61"/>
      <c r="D488" s="135"/>
      <c r="E488" s="64"/>
      <c r="F488" s="64"/>
      <c r="G488" s="64"/>
      <c r="H488" s="64"/>
      <c r="I488" s="137" t="str">
        <f t="shared" si="28"/>
        <v/>
      </c>
      <c r="J488" s="137" t="str">
        <f t="shared" si="29"/>
        <v/>
      </c>
      <c r="K488" s="138" t="str">
        <f t="shared" si="30"/>
        <v/>
      </c>
      <c r="L488" s="138" t="str">
        <f t="shared" si="31"/>
        <v/>
      </c>
      <c r="M488" s="61"/>
      <c r="N488" s="61"/>
      <c r="O488" s="61"/>
      <c r="P488" s="61"/>
    </row>
    <row r="489" spans="1:16" ht="15" customHeight="1" x14ac:dyDescent="0.25">
      <c r="A489" s="61"/>
      <c r="B489" s="61"/>
      <c r="C489" s="61"/>
      <c r="D489" s="135"/>
      <c r="E489" s="64"/>
      <c r="F489" s="64"/>
      <c r="G489" s="64"/>
      <c r="H489" s="64"/>
      <c r="I489" s="137" t="str">
        <f t="shared" si="28"/>
        <v/>
      </c>
      <c r="J489" s="137" t="str">
        <f t="shared" si="29"/>
        <v/>
      </c>
      <c r="K489" s="138" t="str">
        <f t="shared" si="30"/>
        <v/>
      </c>
      <c r="L489" s="138" t="str">
        <f t="shared" si="31"/>
        <v/>
      </c>
      <c r="M489" s="61"/>
      <c r="N489" s="61"/>
      <c r="O489" s="61"/>
      <c r="P489" s="61"/>
    </row>
    <row r="490" spans="1:16" ht="15" customHeight="1" x14ac:dyDescent="0.25">
      <c r="A490" s="61"/>
      <c r="B490" s="61"/>
      <c r="C490" s="61"/>
      <c r="D490" s="135"/>
      <c r="E490" s="64"/>
      <c r="F490" s="64"/>
      <c r="G490" s="64"/>
      <c r="H490" s="64"/>
      <c r="I490" s="137" t="str">
        <f t="shared" si="28"/>
        <v/>
      </c>
      <c r="J490" s="137" t="str">
        <f t="shared" si="29"/>
        <v/>
      </c>
      <c r="K490" s="138" t="str">
        <f t="shared" si="30"/>
        <v/>
      </c>
      <c r="L490" s="138" t="str">
        <f t="shared" si="31"/>
        <v/>
      </c>
      <c r="M490" s="61"/>
      <c r="N490" s="61"/>
      <c r="O490" s="61"/>
      <c r="P490" s="61"/>
    </row>
    <row r="491" spans="1:16" ht="15" customHeight="1" x14ac:dyDescent="0.25">
      <c r="A491" s="61"/>
      <c r="B491" s="61"/>
      <c r="C491" s="61"/>
      <c r="D491" s="135"/>
      <c r="E491" s="64"/>
      <c r="F491" s="64"/>
      <c r="G491" s="64"/>
      <c r="H491" s="64"/>
      <c r="I491" s="137" t="str">
        <f t="shared" si="28"/>
        <v/>
      </c>
      <c r="J491" s="137" t="str">
        <f t="shared" si="29"/>
        <v/>
      </c>
      <c r="K491" s="138" t="str">
        <f t="shared" si="30"/>
        <v/>
      </c>
      <c r="L491" s="138" t="str">
        <f t="shared" si="31"/>
        <v/>
      </c>
      <c r="M491" s="61"/>
      <c r="N491" s="61"/>
      <c r="O491" s="61"/>
      <c r="P491" s="61"/>
    </row>
    <row r="492" spans="1:16" ht="15" customHeight="1" x14ac:dyDescent="0.25">
      <c r="A492" s="61"/>
      <c r="B492" s="61"/>
      <c r="C492" s="61"/>
      <c r="D492" s="135"/>
      <c r="E492" s="64"/>
      <c r="F492" s="64"/>
      <c r="G492" s="64"/>
      <c r="H492" s="64"/>
      <c r="I492" s="137" t="str">
        <f t="shared" si="28"/>
        <v/>
      </c>
      <c r="J492" s="137" t="str">
        <f t="shared" si="29"/>
        <v/>
      </c>
      <c r="K492" s="138" t="str">
        <f t="shared" si="30"/>
        <v/>
      </c>
      <c r="L492" s="138" t="str">
        <f t="shared" si="31"/>
        <v/>
      </c>
      <c r="M492" s="61"/>
      <c r="N492" s="61"/>
      <c r="O492" s="61"/>
      <c r="P492" s="61"/>
    </row>
    <row r="493" spans="1:16" ht="15" customHeight="1" x14ac:dyDescent="0.25">
      <c r="A493" s="61"/>
      <c r="B493" s="61"/>
      <c r="C493" s="61"/>
      <c r="D493" s="135"/>
      <c r="E493" s="64"/>
      <c r="F493" s="64"/>
      <c r="G493" s="64"/>
      <c r="H493" s="64"/>
      <c r="I493" s="137" t="str">
        <f t="shared" si="28"/>
        <v/>
      </c>
      <c r="J493" s="137" t="str">
        <f t="shared" si="29"/>
        <v/>
      </c>
      <c r="K493" s="138" t="str">
        <f t="shared" si="30"/>
        <v/>
      </c>
      <c r="L493" s="138" t="str">
        <f t="shared" si="31"/>
        <v/>
      </c>
      <c r="M493" s="61"/>
      <c r="N493" s="61"/>
      <c r="O493" s="61"/>
      <c r="P493" s="61"/>
    </row>
    <row r="494" spans="1:16" ht="15" customHeight="1" x14ac:dyDescent="0.25">
      <c r="A494" s="61"/>
      <c r="B494" s="61"/>
      <c r="C494" s="61"/>
      <c r="D494" s="135"/>
      <c r="E494" s="64"/>
      <c r="F494" s="64"/>
      <c r="G494" s="64"/>
      <c r="H494" s="64"/>
      <c r="I494" s="137" t="str">
        <f t="shared" si="28"/>
        <v/>
      </c>
      <c r="J494" s="137" t="str">
        <f t="shared" si="29"/>
        <v/>
      </c>
      <c r="K494" s="138" t="str">
        <f t="shared" si="30"/>
        <v/>
      </c>
      <c r="L494" s="138" t="str">
        <f t="shared" si="31"/>
        <v/>
      </c>
      <c r="M494" s="61"/>
      <c r="N494" s="61"/>
      <c r="O494" s="61"/>
      <c r="P494" s="61"/>
    </row>
    <row r="495" spans="1:16" ht="15" customHeight="1" x14ac:dyDescent="0.25">
      <c r="A495" s="61"/>
      <c r="B495" s="61"/>
      <c r="C495" s="61"/>
      <c r="D495" s="135"/>
      <c r="E495" s="64"/>
      <c r="F495" s="64"/>
      <c r="G495" s="64"/>
      <c r="H495" s="64"/>
      <c r="I495" s="137" t="str">
        <f t="shared" si="28"/>
        <v/>
      </c>
      <c r="J495" s="137" t="str">
        <f t="shared" si="29"/>
        <v/>
      </c>
      <c r="K495" s="138" t="str">
        <f t="shared" si="30"/>
        <v/>
      </c>
      <c r="L495" s="138" t="str">
        <f t="shared" si="31"/>
        <v/>
      </c>
      <c r="M495" s="61"/>
      <c r="N495" s="61"/>
      <c r="O495" s="61"/>
      <c r="P495" s="61"/>
    </row>
    <row r="496" spans="1:16" ht="15" customHeight="1" x14ac:dyDescent="0.25">
      <c r="A496" s="61"/>
      <c r="B496" s="61"/>
      <c r="C496" s="61"/>
      <c r="D496" s="135"/>
      <c r="E496" s="64"/>
      <c r="F496" s="64"/>
      <c r="G496" s="64"/>
      <c r="H496" s="64"/>
      <c r="I496" s="137" t="str">
        <f t="shared" si="28"/>
        <v/>
      </c>
      <c r="J496" s="137" t="str">
        <f t="shared" si="29"/>
        <v/>
      </c>
      <c r="K496" s="138" t="str">
        <f t="shared" si="30"/>
        <v/>
      </c>
      <c r="L496" s="138" t="str">
        <f t="shared" si="31"/>
        <v/>
      </c>
      <c r="M496" s="61"/>
      <c r="N496" s="61"/>
      <c r="O496" s="61"/>
      <c r="P496" s="61"/>
    </row>
    <row r="497" spans="1:16" ht="15" customHeight="1" x14ac:dyDescent="0.25">
      <c r="A497" s="61"/>
      <c r="B497" s="61"/>
      <c r="C497" s="61"/>
      <c r="D497" s="135"/>
      <c r="E497" s="64"/>
      <c r="F497" s="64"/>
      <c r="G497" s="64"/>
      <c r="H497" s="64"/>
      <c r="I497" s="137" t="str">
        <f t="shared" si="28"/>
        <v/>
      </c>
      <c r="J497" s="137" t="str">
        <f t="shared" si="29"/>
        <v/>
      </c>
      <c r="K497" s="138" t="str">
        <f t="shared" si="30"/>
        <v/>
      </c>
      <c r="L497" s="138" t="str">
        <f t="shared" si="31"/>
        <v/>
      </c>
      <c r="M497" s="61"/>
      <c r="N497" s="61"/>
      <c r="O497" s="61"/>
      <c r="P497" s="61"/>
    </row>
    <row r="498" spans="1:16" ht="15" customHeight="1" x14ac:dyDescent="0.25">
      <c r="A498" s="61"/>
      <c r="B498" s="61"/>
      <c r="C498" s="61"/>
      <c r="D498" s="135"/>
      <c r="E498" s="64"/>
      <c r="F498" s="64"/>
      <c r="G498" s="64"/>
      <c r="H498" s="64"/>
      <c r="I498" s="137" t="str">
        <f t="shared" si="28"/>
        <v/>
      </c>
      <c r="J498" s="137" t="str">
        <f t="shared" si="29"/>
        <v/>
      </c>
      <c r="K498" s="138" t="str">
        <f t="shared" si="30"/>
        <v/>
      </c>
      <c r="L498" s="138" t="str">
        <f t="shared" si="31"/>
        <v/>
      </c>
      <c r="M498" s="61"/>
      <c r="N498" s="61"/>
      <c r="O498" s="61"/>
      <c r="P498" s="61"/>
    </row>
    <row r="499" spans="1:16" ht="15" customHeight="1" x14ac:dyDescent="0.25">
      <c r="A499" s="61"/>
      <c r="B499" s="61"/>
      <c r="C499" s="61"/>
      <c r="D499" s="135"/>
      <c r="E499" s="64"/>
      <c r="F499" s="64"/>
      <c r="G499" s="64"/>
      <c r="H499" s="64"/>
      <c r="I499" s="137" t="str">
        <f t="shared" si="28"/>
        <v/>
      </c>
      <c r="J499" s="137" t="str">
        <f t="shared" si="29"/>
        <v/>
      </c>
      <c r="K499" s="138" t="str">
        <f t="shared" si="30"/>
        <v/>
      </c>
      <c r="L499" s="138" t="str">
        <f t="shared" si="31"/>
        <v/>
      </c>
      <c r="M499" s="61"/>
      <c r="N499" s="61"/>
      <c r="O499" s="61"/>
      <c r="P499" s="61"/>
    </row>
    <row r="500" spans="1:16" ht="15" customHeight="1" x14ac:dyDescent="0.25">
      <c r="A500" s="61"/>
      <c r="B500" s="61"/>
      <c r="C500" s="61"/>
      <c r="D500" s="135"/>
      <c r="E500" s="64"/>
      <c r="F500" s="64"/>
      <c r="G500" s="64"/>
      <c r="H500" s="64"/>
      <c r="I500" s="137" t="str">
        <f t="shared" si="28"/>
        <v/>
      </c>
      <c r="J500" s="137" t="str">
        <f t="shared" si="29"/>
        <v/>
      </c>
      <c r="K500" s="138" t="str">
        <f t="shared" si="30"/>
        <v/>
      </c>
      <c r="L500" s="138" t="str">
        <f t="shared" si="31"/>
        <v/>
      </c>
      <c r="M500" s="61"/>
      <c r="N500" s="61"/>
      <c r="O500" s="61"/>
      <c r="P500" s="61"/>
    </row>
    <row r="501" spans="1:16" ht="15" customHeight="1" x14ac:dyDescent="0.25">
      <c r="A501" s="61"/>
      <c r="B501" s="61"/>
      <c r="C501" s="61"/>
      <c r="D501" s="135"/>
      <c r="E501" s="64"/>
      <c r="F501" s="64"/>
      <c r="G501" s="64"/>
      <c r="H501" s="64"/>
      <c r="I501" s="137" t="str">
        <f t="shared" si="28"/>
        <v/>
      </c>
      <c r="J501" s="137" t="str">
        <f t="shared" si="29"/>
        <v/>
      </c>
      <c r="K501" s="138" t="str">
        <f t="shared" si="30"/>
        <v/>
      </c>
      <c r="L501" s="138" t="str">
        <f t="shared" si="31"/>
        <v/>
      </c>
      <c r="M501" s="61"/>
      <c r="N501" s="61"/>
      <c r="O501" s="61"/>
      <c r="P501" s="61"/>
    </row>
    <row r="502" spans="1:16" ht="15" customHeight="1" x14ac:dyDescent="0.25">
      <c r="A502" s="61"/>
      <c r="B502" s="61"/>
      <c r="C502" s="61"/>
      <c r="D502" s="135"/>
      <c r="E502" s="64"/>
      <c r="F502" s="64"/>
      <c r="G502" s="64"/>
      <c r="H502" s="64"/>
      <c r="I502" s="137" t="str">
        <f t="shared" si="28"/>
        <v/>
      </c>
      <c r="J502" s="137" t="str">
        <f t="shared" si="29"/>
        <v/>
      </c>
      <c r="K502" s="138" t="str">
        <f t="shared" si="30"/>
        <v/>
      </c>
      <c r="L502" s="138" t="str">
        <f t="shared" si="31"/>
        <v/>
      </c>
      <c r="M502" s="61"/>
      <c r="N502" s="61"/>
      <c r="O502" s="61"/>
      <c r="P502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O3:O502">
    <cfRule type="cellIs" dxfId="58" priority="2" operator="equal">
      <formula>"Done"</formula>
    </cfRule>
    <cfRule type="cellIs" dxfId="57" priority="3" operator="equal">
      <formula>"Pending"</formula>
    </cfRule>
    <cfRule type="cellIs" dxfId="56" priority="4" operator="equal">
      <formula>"Cut"</formula>
    </cfRule>
  </conditionalFormatting>
  <dataValidations count="3">
    <dataValidation type="list" allowBlank="1" sqref="M3:M502" xr:uid="{00000000-0002-0000-0A00-000000000000}">
      <formula1>"Long,Cross,None"</formula1>
      <formula2>0</formula2>
    </dataValidation>
    <dataValidation type="list" allowBlank="1" sqref="N3:N502" xr:uid="{00000000-0002-0000-0A00-000001000000}">
      <formula1>"CNC_Nest,Edge_Bander,Panel_Saw,Manual"</formula1>
      <formula2>0</formula2>
    </dataValidation>
    <dataValidation type="list" allowBlank="1" sqref="O3:O502" xr:uid="{00000000-0002-0000-0A00-000002000000}">
      <formula1>"Pending,Cut,Edged,Done"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D7D31"/>
  </sheetPr>
  <dimension ref="A1:P28"/>
  <sheetViews>
    <sheetView zoomScaleNormal="100" workbookViewId="0">
      <selection sqref="A1:P1"/>
    </sheetView>
  </sheetViews>
  <sheetFormatPr defaultColWidth="8.7109375" defaultRowHeight="15" x14ac:dyDescent="0.25"/>
  <cols>
    <col min="1" max="1" width="16" customWidth="1"/>
    <col min="2" max="12" width="12" customWidth="1"/>
    <col min="13" max="13" width="14" customWidth="1"/>
  </cols>
  <sheetData>
    <row r="1" spans="1:16" ht="30" customHeight="1" x14ac:dyDescent="0.25">
      <c r="A1" s="71" t="s">
        <v>666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" customHeight="1" x14ac:dyDescent="0.25">
      <c r="A3" s="111" t="s">
        <v>667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27.75" customHeight="1" x14ac:dyDescent="0.25">
      <c r="A4" s="63" t="s">
        <v>668</v>
      </c>
      <c r="B4" s="63" t="s">
        <v>669</v>
      </c>
      <c r="C4" s="63" t="s">
        <v>670</v>
      </c>
      <c r="D4" s="63" t="s">
        <v>671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6" ht="15" customHeight="1" x14ac:dyDescent="0.25">
      <c r="A5" s="92" t="s">
        <v>382</v>
      </c>
      <c r="B5" s="141">
        <f>COUNTIFS(Staff!$D$3:$D$37,A5,Staff!$J$3:$J$37,"Yes")</f>
        <v>3</v>
      </c>
      <c r="C5" s="108">
        <v>40</v>
      </c>
      <c r="D5" s="142">
        <f t="shared" ref="D5:D14" si="0">B5*C5</f>
        <v>120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5" customHeight="1" x14ac:dyDescent="0.25">
      <c r="A6" s="92" t="s">
        <v>470</v>
      </c>
      <c r="B6" s="141">
        <f>COUNTIFS(Staff!$D$3:$D$37,A6,Staff!$J$3:$J$37,"Yes")</f>
        <v>2</v>
      </c>
      <c r="C6" s="108">
        <v>40</v>
      </c>
      <c r="D6" s="142">
        <f t="shared" si="0"/>
        <v>80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 ht="15" customHeight="1" x14ac:dyDescent="0.25">
      <c r="A7" s="92" t="s">
        <v>469</v>
      </c>
      <c r="B7" s="141">
        <f>COUNTIFS(Staff!$D$3:$D$37,A7,Staff!$J$3:$J$37,"Yes")</f>
        <v>3</v>
      </c>
      <c r="C7" s="108">
        <v>40</v>
      </c>
      <c r="D7" s="142">
        <f t="shared" si="0"/>
        <v>120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6" ht="15" customHeight="1" x14ac:dyDescent="0.25">
      <c r="A8" s="92" t="s">
        <v>471</v>
      </c>
      <c r="B8" s="141">
        <f>COUNTIFS(Staff!$D$3:$D$37,A8,Staff!$J$3:$J$37,"Yes")</f>
        <v>2</v>
      </c>
      <c r="C8" s="108">
        <v>40</v>
      </c>
      <c r="D8" s="142">
        <f t="shared" si="0"/>
        <v>80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5" customHeight="1" x14ac:dyDescent="0.25">
      <c r="A9" s="92" t="s">
        <v>472</v>
      </c>
      <c r="B9" s="141">
        <f>COUNTIFS(Staff!$D$3:$D$37,A9,Staff!$J$3:$J$37,"Yes")</f>
        <v>5</v>
      </c>
      <c r="C9" s="108">
        <v>40</v>
      </c>
      <c r="D9" s="142">
        <f t="shared" si="0"/>
        <v>200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</row>
    <row r="10" spans="1:16" ht="15" customHeight="1" x14ac:dyDescent="0.25">
      <c r="A10" s="92" t="s">
        <v>473</v>
      </c>
      <c r="B10" s="141">
        <f>COUNTIFS(Staff!$D$3:$D$37,A10,Staff!$J$3:$J$37,"Yes")</f>
        <v>3</v>
      </c>
      <c r="C10" s="108">
        <v>40</v>
      </c>
      <c r="D10" s="142">
        <f t="shared" si="0"/>
        <v>120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</row>
    <row r="11" spans="1:16" ht="15" customHeight="1" x14ac:dyDescent="0.25">
      <c r="A11" s="92" t="s">
        <v>475</v>
      </c>
      <c r="B11" s="141">
        <f>COUNTIFS(Staff!$D$3:$D$37,A11,Staff!$J$3:$J$37,"Yes")</f>
        <v>4</v>
      </c>
      <c r="C11" s="108">
        <v>40</v>
      </c>
      <c r="D11" s="142">
        <f t="shared" si="0"/>
        <v>160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</row>
    <row r="12" spans="1:16" ht="15" customHeight="1" x14ac:dyDescent="0.25">
      <c r="A12" s="92" t="s">
        <v>476</v>
      </c>
      <c r="B12" s="141">
        <f>COUNTIFS(Staff!$D$3:$D$37,A12,Staff!$J$3:$J$37,"Yes")</f>
        <v>2</v>
      </c>
      <c r="C12" s="108">
        <v>40</v>
      </c>
      <c r="D12" s="142">
        <f t="shared" si="0"/>
        <v>80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1:16" ht="15" customHeight="1" x14ac:dyDescent="0.25">
      <c r="A13" s="92" t="s">
        <v>477</v>
      </c>
      <c r="B13" s="141">
        <f>COUNTIFS(Staff!$D$3:$D$37,A13,Staff!$J$3:$J$37,"Yes")</f>
        <v>2</v>
      </c>
      <c r="C13" s="108">
        <v>40</v>
      </c>
      <c r="D13" s="142">
        <f t="shared" si="0"/>
        <v>80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</row>
    <row r="14" spans="1:16" ht="15" customHeight="1" x14ac:dyDescent="0.25">
      <c r="A14" s="92" t="s">
        <v>478</v>
      </c>
      <c r="B14" s="141">
        <f>COUNTIFS(Staff!$D$3:$D$37,A14,Staff!$J$3:$J$37,"Yes")</f>
        <v>4</v>
      </c>
      <c r="C14" s="108">
        <v>40</v>
      </c>
      <c r="D14" s="142">
        <f t="shared" si="0"/>
        <v>160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1:16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</row>
    <row r="16" spans="1:16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</row>
    <row r="17" spans="1:16" ht="15" customHeight="1" x14ac:dyDescent="0.25">
      <c r="A17" s="111" t="s">
        <v>672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</row>
    <row r="18" spans="1:16" ht="26.25" customHeight="1" x14ac:dyDescent="0.25">
      <c r="A18" s="63" t="s">
        <v>668</v>
      </c>
      <c r="B18" s="139">
        <v>46139</v>
      </c>
      <c r="C18" s="139">
        <v>46146</v>
      </c>
      <c r="D18" s="139">
        <v>46153</v>
      </c>
      <c r="E18" s="139">
        <v>46160</v>
      </c>
      <c r="F18" s="139">
        <v>46167</v>
      </c>
      <c r="G18" s="139">
        <v>46174</v>
      </c>
      <c r="H18" s="139">
        <v>46181</v>
      </c>
      <c r="I18" s="139">
        <v>46188</v>
      </c>
      <c r="J18" s="139">
        <v>46195</v>
      </c>
      <c r="K18" s="139">
        <v>46202</v>
      </c>
      <c r="L18" s="63" t="s">
        <v>673</v>
      </c>
      <c r="M18" s="63" t="s">
        <v>674</v>
      </c>
      <c r="N18" s="61"/>
      <c r="O18" s="61"/>
      <c r="P18" s="61"/>
    </row>
    <row r="19" spans="1:16" ht="15" customHeight="1" x14ac:dyDescent="0.25">
      <c r="A19" s="140" t="s">
        <v>382</v>
      </c>
      <c r="B19" s="143">
        <f>SUMPRODUCT((Gantt!$D$3:$D$52=$A19)*(Gantt!$E$3:$E$52&lt;=B$18+6)*(Gantt!$G$3:$G$52&gt;=B$18)*((Gantt!$G$3:$G$52-Gantt!$E$3:$E$52+1)-(Gantt!$E$3:$E$52&lt;B$18)*(B$18-Gantt!$E$3:$E$52)-(Gantt!$G$3:$G$52&gt;B$18+6)*(Gantt!$G$3:$G$52-(B$18+6)))*8)</f>
      </c>
      <c r="C19" s="143">
        <f>SUMPRODUCT((Gantt!$D$3:$D$52=$A19)*(Gantt!$E$3:$E$52&lt;=C$18+6)*(Gantt!$G$3:$G$52&gt;=C$18)*((Gantt!$G$3:$G$52-Gantt!$E$3:$E$52+1)-(Gantt!$E$3:$E$52&lt;C$18)*(C$18-Gantt!$E$3:$E$52)-(Gantt!$G$3:$G$52&gt;C$18+6)*(Gantt!$G$3:$G$52-(C$18+6)))*8)</f>
      </c>
      <c r="D19" s="143">
        <f>SUMPRODUCT((Gantt!$D$3:$D$52=$A19)*(Gantt!$E$3:$E$52&lt;=D$18+6)*(Gantt!$G$3:$G$52&gt;=D$18)*((Gantt!$G$3:$G$52-Gantt!$E$3:$E$52+1)-(Gantt!$E$3:$E$52&lt;D$18)*(D$18-Gantt!$E$3:$E$52)-(Gantt!$G$3:$G$52&gt;D$18+6)*(Gantt!$G$3:$G$52-(D$18+6)))*8)</f>
      </c>
      <c r="E19" s="143">
        <f>SUMPRODUCT((Gantt!$D$3:$D$52=$A19)*(Gantt!$E$3:$E$52&lt;=E$18+6)*(Gantt!$G$3:$G$52&gt;=E$18)*((Gantt!$G$3:$G$52-Gantt!$E$3:$E$52+1)-(Gantt!$E$3:$E$52&lt;E$18)*(E$18-Gantt!$E$3:$E$52)-(Gantt!$G$3:$G$52&gt;E$18+6)*(Gantt!$G$3:$G$52-(E$18+6)))*8)</f>
      </c>
      <c r="F19" s="143">
        <f>SUMPRODUCT((Gantt!$D$3:$D$52=$A19)*(Gantt!$E$3:$E$52&lt;=F$18+6)*(Gantt!$G$3:$G$52&gt;=F$18)*((Gantt!$G$3:$G$52-Gantt!$E$3:$E$52+1)-(Gantt!$E$3:$E$52&lt;F$18)*(F$18-Gantt!$E$3:$E$52)-(Gantt!$G$3:$G$52&gt;F$18+6)*(Gantt!$G$3:$G$52-(F$18+6)))*8)</f>
      </c>
      <c r="G19" s="143">
        <f>SUMPRODUCT((Gantt!$D$3:$D$52=$A19)*(Gantt!$E$3:$E$52&lt;=G$18+6)*(Gantt!$G$3:$G$52&gt;=G$18)*((Gantt!$G$3:$G$52-Gantt!$E$3:$E$52+1)-(Gantt!$E$3:$E$52&lt;G$18)*(G$18-Gantt!$E$3:$E$52)-(Gantt!$G$3:$G$52&gt;G$18+6)*(Gantt!$G$3:$G$52-(G$18+6)))*8)</f>
      </c>
      <c r="H19" s="143">
        <f>SUMPRODUCT((Gantt!$D$3:$D$52=$A19)*(Gantt!$E$3:$E$52&lt;=H$18+6)*(Gantt!$G$3:$G$52&gt;=H$18)*((Gantt!$G$3:$G$52-Gantt!$E$3:$E$52+1)-(Gantt!$E$3:$E$52&lt;H$18)*(H$18-Gantt!$E$3:$E$52)-(Gantt!$G$3:$G$52&gt;H$18+6)*(Gantt!$G$3:$G$52-(H$18+6)))*8)</f>
      </c>
      <c r="I19" s="143">
        <f>SUMPRODUCT((Gantt!$D$3:$D$52=$A19)*(Gantt!$E$3:$E$52&lt;=I$18+6)*(Gantt!$G$3:$G$52&gt;=I$18)*((Gantt!$G$3:$G$52-Gantt!$E$3:$E$52+1)-(Gantt!$E$3:$E$52&lt;I$18)*(I$18-Gantt!$E$3:$E$52)-(Gantt!$G$3:$G$52&gt;I$18+6)*(Gantt!$G$3:$G$52-(I$18+6)))*8)</f>
      </c>
      <c r="J19" s="143">
        <f>SUMPRODUCT((Gantt!$D$3:$D$52=$A19)*(Gantt!$E$3:$E$52&lt;=J$18+6)*(Gantt!$G$3:$G$52&gt;=J$18)*((Gantt!$G$3:$G$52-Gantt!$E$3:$E$52+1)-(Gantt!$E$3:$E$52&lt;J$18)*(J$18-Gantt!$E$3:$E$52)-(Gantt!$G$3:$G$52&gt;J$18+6)*(Gantt!$G$3:$G$52-(J$18+6)))*8)</f>
      </c>
      <c r="K19" s="143">
        <f>SUMPRODUCT((Gantt!$D$3:$D$52=$A19)*(Gantt!$E$3:$E$52&lt;=K$18+6)*(Gantt!$G$3:$G$52&gt;=K$18)*((Gantt!$G$3:$G$52-Gantt!$E$3:$E$52+1)-(Gantt!$E$3:$E$52&lt;K$18)*(K$18-Gantt!$E$3:$E$52)-(Gantt!$G$3:$G$52&gt;K$18+6)*(Gantt!$G$3:$G$52-(K$18+6)))*8)</f>
      </c>
      <c r="L19" s="142">
        <f t="shared" ref="L19:L28" si="1">SUM(B19:K19)</f>
        <v>0</v>
      </c>
      <c r="M19" s="144">
        <f>IFERROR(L19/($D$5*10),0)</f>
        <v>0</v>
      </c>
      <c r="N19" s="61"/>
      <c r="O19" s="61"/>
      <c r="P19" s="61"/>
    </row>
    <row r="20" spans="1:16" ht="15" customHeight="1" x14ac:dyDescent="0.25">
      <c r="A20" s="140" t="s">
        <v>470</v>
      </c>
      <c r="B20" s="143">
        <f>SUMPRODUCT((Gantt!$D$3:$D$52=$A20)*(Gantt!$E$3:$E$52&lt;=B$18+6)*(Gantt!$G$3:$G$52&gt;=B$18)*((Gantt!$G$3:$G$52-Gantt!$E$3:$E$52+1)-(Gantt!$E$3:$E$52&lt;B$18)*(B$18-Gantt!$E$3:$E$52)-(Gantt!$G$3:$G$52&gt;B$18+6)*(Gantt!$G$3:$G$52-(B$18+6)))*8)</f>
      </c>
      <c r="C20" s="143">
        <f>SUMPRODUCT((Gantt!$D$3:$D$52=$A20)*(Gantt!$E$3:$E$52&lt;=C$18+6)*(Gantt!$G$3:$G$52&gt;=C$18)*((Gantt!$G$3:$G$52-Gantt!$E$3:$E$52+1)-(Gantt!$E$3:$E$52&lt;C$18)*(C$18-Gantt!$E$3:$E$52)-(Gantt!$G$3:$G$52&gt;C$18+6)*(Gantt!$G$3:$G$52-(C$18+6)))*8)</f>
      </c>
      <c r="D20" s="143">
        <f>SUMPRODUCT((Gantt!$D$3:$D$52=$A20)*(Gantt!$E$3:$E$52&lt;=D$18+6)*(Gantt!$G$3:$G$52&gt;=D$18)*((Gantt!$G$3:$G$52-Gantt!$E$3:$E$52+1)-(Gantt!$E$3:$E$52&lt;D$18)*(D$18-Gantt!$E$3:$E$52)-(Gantt!$G$3:$G$52&gt;D$18+6)*(Gantt!$G$3:$G$52-(D$18+6)))*8)</f>
      </c>
      <c r="E20" s="143">
        <f>SUMPRODUCT((Gantt!$D$3:$D$52=$A20)*(Gantt!$E$3:$E$52&lt;=E$18+6)*(Gantt!$G$3:$G$52&gt;=E$18)*((Gantt!$G$3:$G$52-Gantt!$E$3:$E$52+1)-(Gantt!$E$3:$E$52&lt;E$18)*(E$18-Gantt!$E$3:$E$52)-(Gantt!$G$3:$G$52&gt;E$18+6)*(Gantt!$G$3:$G$52-(E$18+6)))*8)</f>
      </c>
      <c r="F20" s="143">
        <f>SUMPRODUCT((Gantt!$D$3:$D$52=$A20)*(Gantt!$E$3:$E$52&lt;=F$18+6)*(Gantt!$G$3:$G$52&gt;=F$18)*((Gantt!$G$3:$G$52-Gantt!$E$3:$E$52+1)-(Gantt!$E$3:$E$52&lt;F$18)*(F$18-Gantt!$E$3:$E$52)-(Gantt!$G$3:$G$52&gt;F$18+6)*(Gantt!$G$3:$G$52-(F$18+6)))*8)</f>
      </c>
      <c r="G20" s="143">
        <f>SUMPRODUCT((Gantt!$D$3:$D$52=$A20)*(Gantt!$E$3:$E$52&lt;=G$18+6)*(Gantt!$G$3:$G$52&gt;=G$18)*((Gantt!$G$3:$G$52-Gantt!$E$3:$E$52+1)-(Gantt!$E$3:$E$52&lt;G$18)*(G$18-Gantt!$E$3:$E$52)-(Gantt!$G$3:$G$52&gt;G$18+6)*(Gantt!$G$3:$G$52-(G$18+6)))*8)</f>
      </c>
      <c r="H20" s="143">
        <f>SUMPRODUCT((Gantt!$D$3:$D$52=$A20)*(Gantt!$E$3:$E$52&lt;=H$18+6)*(Gantt!$G$3:$G$52&gt;=H$18)*((Gantt!$G$3:$G$52-Gantt!$E$3:$E$52+1)-(Gantt!$E$3:$E$52&lt;H$18)*(H$18-Gantt!$E$3:$E$52)-(Gantt!$G$3:$G$52&gt;H$18+6)*(Gantt!$G$3:$G$52-(H$18+6)))*8)</f>
      </c>
      <c r="I20" s="143">
        <f>SUMPRODUCT((Gantt!$D$3:$D$52=$A20)*(Gantt!$E$3:$E$52&lt;=I$18+6)*(Gantt!$G$3:$G$52&gt;=I$18)*((Gantt!$G$3:$G$52-Gantt!$E$3:$E$52+1)-(Gantt!$E$3:$E$52&lt;I$18)*(I$18-Gantt!$E$3:$E$52)-(Gantt!$G$3:$G$52&gt;I$18+6)*(Gantt!$G$3:$G$52-(I$18+6)))*8)</f>
      </c>
      <c r="J20" s="143">
        <f>SUMPRODUCT((Gantt!$D$3:$D$52=$A20)*(Gantt!$E$3:$E$52&lt;=J$18+6)*(Gantt!$G$3:$G$52&gt;=J$18)*((Gantt!$G$3:$G$52-Gantt!$E$3:$E$52+1)-(Gantt!$E$3:$E$52&lt;J$18)*(J$18-Gantt!$E$3:$E$52)-(Gantt!$G$3:$G$52&gt;J$18+6)*(Gantt!$G$3:$G$52-(J$18+6)))*8)</f>
      </c>
      <c r="K20" s="143">
        <f>SUMPRODUCT((Gantt!$D$3:$D$52=$A20)*(Gantt!$E$3:$E$52&lt;=K$18+6)*(Gantt!$G$3:$G$52&gt;=K$18)*((Gantt!$G$3:$G$52-Gantt!$E$3:$E$52+1)-(Gantt!$E$3:$E$52&lt;K$18)*(K$18-Gantt!$E$3:$E$52)-(Gantt!$G$3:$G$52&gt;K$18+6)*(Gantt!$G$3:$G$52-(K$18+6)))*8)</f>
      </c>
      <c r="L20" s="142">
        <f t="shared" si="1"/>
        <v>0</v>
      </c>
      <c r="M20" s="144">
        <f>IFERROR(L20/($D$6*10),0)</f>
        <v>0</v>
      </c>
      <c r="N20" s="61"/>
      <c r="O20" s="61"/>
      <c r="P20" s="61"/>
    </row>
    <row r="21" spans="1:16" ht="15" customHeight="1" x14ac:dyDescent="0.25">
      <c r="A21" s="140" t="s">
        <v>469</v>
      </c>
      <c r="B21" s="143">
        <f>SUMPRODUCT((Gantt!$D$3:$D$52=$A21)*(Gantt!$E$3:$E$52&lt;=B$18+6)*(Gantt!$G$3:$G$52&gt;=B$18)*((Gantt!$G$3:$G$52-Gantt!$E$3:$E$52+1)-(Gantt!$E$3:$E$52&lt;B$18)*(B$18-Gantt!$E$3:$E$52)-(Gantt!$G$3:$G$52&gt;B$18+6)*(Gantt!$G$3:$G$52-(B$18+6)))*8)</f>
      </c>
      <c r="C21" s="143">
        <f>SUMPRODUCT((Gantt!$D$3:$D$52=$A21)*(Gantt!$E$3:$E$52&lt;=C$18+6)*(Gantt!$G$3:$G$52&gt;=C$18)*((Gantt!$G$3:$G$52-Gantt!$E$3:$E$52+1)-(Gantt!$E$3:$E$52&lt;C$18)*(C$18-Gantt!$E$3:$E$52)-(Gantt!$G$3:$G$52&gt;C$18+6)*(Gantt!$G$3:$G$52-(C$18+6)))*8)</f>
      </c>
      <c r="D21" s="143">
        <f>SUMPRODUCT((Gantt!$D$3:$D$52=$A21)*(Gantt!$E$3:$E$52&lt;=D$18+6)*(Gantt!$G$3:$G$52&gt;=D$18)*((Gantt!$G$3:$G$52-Gantt!$E$3:$E$52+1)-(Gantt!$E$3:$E$52&lt;D$18)*(D$18-Gantt!$E$3:$E$52)-(Gantt!$G$3:$G$52&gt;D$18+6)*(Gantt!$G$3:$G$52-(D$18+6)))*8)</f>
      </c>
      <c r="E21" s="143">
        <f>SUMPRODUCT((Gantt!$D$3:$D$52=$A21)*(Gantt!$E$3:$E$52&lt;=E$18+6)*(Gantt!$G$3:$G$52&gt;=E$18)*((Gantt!$G$3:$G$52-Gantt!$E$3:$E$52+1)-(Gantt!$E$3:$E$52&lt;E$18)*(E$18-Gantt!$E$3:$E$52)-(Gantt!$G$3:$G$52&gt;E$18+6)*(Gantt!$G$3:$G$52-(E$18+6)))*8)</f>
      </c>
      <c r="F21" s="143">
        <f>SUMPRODUCT((Gantt!$D$3:$D$52=$A21)*(Gantt!$E$3:$E$52&lt;=F$18+6)*(Gantt!$G$3:$G$52&gt;=F$18)*((Gantt!$G$3:$G$52-Gantt!$E$3:$E$52+1)-(Gantt!$E$3:$E$52&lt;F$18)*(F$18-Gantt!$E$3:$E$52)-(Gantt!$G$3:$G$52&gt;F$18+6)*(Gantt!$G$3:$G$52-(F$18+6)))*8)</f>
      </c>
      <c r="G21" s="143">
        <f>SUMPRODUCT((Gantt!$D$3:$D$52=$A21)*(Gantt!$E$3:$E$52&lt;=G$18+6)*(Gantt!$G$3:$G$52&gt;=G$18)*((Gantt!$G$3:$G$52-Gantt!$E$3:$E$52+1)-(Gantt!$E$3:$E$52&lt;G$18)*(G$18-Gantt!$E$3:$E$52)-(Gantt!$G$3:$G$52&gt;G$18+6)*(Gantt!$G$3:$G$52-(G$18+6)))*8)</f>
      </c>
      <c r="H21" s="143">
        <f>SUMPRODUCT((Gantt!$D$3:$D$52=$A21)*(Gantt!$E$3:$E$52&lt;=H$18+6)*(Gantt!$G$3:$G$52&gt;=H$18)*((Gantt!$G$3:$G$52-Gantt!$E$3:$E$52+1)-(Gantt!$E$3:$E$52&lt;H$18)*(H$18-Gantt!$E$3:$E$52)-(Gantt!$G$3:$G$52&gt;H$18+6)*(Gantt!$G$3:$G$52-(H$18+6)))*8)</f>
      </c>
      <c r="I21" s="143">
        <f>SUMPRODUCT((Gantt!$D$3:$D$52=$A21)*(Gantt!$E$3:$E$52&lt;=I$18+6)*(Gantt!$G$3:$G$52&gt;=I$18)*((Gantt!$G$3:$G$52-Gantt!$E$3:$E$52+1)-(Gantt!$E$3:$E$52&lt;I$18)*(I$18-Gantt!$E$3:$E$52)-(Gantt!$G$3:$G$52&gt;I$18+6)*(Gantt!$G$3:$G$52-(I$18+6)))*8)</f>
      </c>
      <c r="J21" s="143">
        <f>SUMPRODUCT((Gantt!$D$3:$D$52=$A21)*(Gantt!$E$3:$E$52&lt;=J$18+6)*(Gantt!$G$3:$G$52&gt;=J$18)*((Gantt!$G$3:$G$52-Gantt!$E$3:$E$52+1)-(Gantt!$E$3:$E$52&lt;J$18)*(J$18-Gantt!$E$3:$E$52)-(Gantt!$G$3:$G$52&gt;J$18+6)*(Gantt!$G$3:$G$52-(J$18+6)))*8)</f>
      </c>
      <c r="K21" s="143">
        <f>SUMPRODUCT((Gantt!$D$3:$D$52=$A21)*(Gantt!$E$3:$E$52&lt;=K$18+6)*(Gantt!$G$3:$G$52&gt;=K$18)*((Gantt!$G$3:$G$52-Gantt!$E$3:$E$52+1)-(Gantt!$E$3:$E$52&lt;K$18)*(K$18-Gantt!$E$3:$E$52)-(Gantt!$G$3:$G$52&gt;K$18+6)*(Gantt!$G$3:$G$52-(K$18+6)))*8)</f>
      </c>
      <c r="L21" s="142">
        <f t="shared" si="1"/>
        <v>0</v>
      </c>
      <c r="M21" s="144">
        <f>IFERROR(L21/($D$7*10),0)</f>
        <v>0</v>
      </c>
      <c r="N21" s="61"/>
      <c r="O21" s="61"/>
      <c r="P21" s="61"/>
    </row>
    <row r="22" spans="1:16" ht="15" customHeight="1" x14ac:dyDescent="0.25">
      <c r="A22" s="140" t="s">
        <v>471</v>
      </c>
      <c r="B22" s="143">
        <f>SUMPRODUCT((Gantt!$D$3:$D$52=$A22)*(Gantt!$E$3:$E$52&lt;=B$18+6)*(Gantt!$G$3:$G$52&gt;=B$18)*((Gantt!$G$3:$G$52-Gantt!$E$3:$E$52+1)-(Gantt!$E$3:$E$52&lt;B$18)*(B$18-Gantt!$E$3:$E$52)-(Gantt!$G$3:$G$52&gt;B$18+6)*(Gantt!$G$3:$G$52-(B$18+6)))*8)</f>
      </c>
      <c r="C22" s="143">
        <f>SUMPRODUCT((Gantt!$D$3:$D$52=$A22)*(Gantt!$E$3:$E$52&lt;=C$18+6)*(Gantt!$G$3:$G$52&gt;=C$18)*((Gantt!$G$3:$G$52-Gantt!$E$3:$E$52+1)-(Gantt!$E$3:$E$52&lt;C$18)*(C$18-Gantt!$E$3:$E$52)-(Gantt!$G$3:$G$52&gt;C$18+6)*(Gantt!$G$3:$G$52-(C$18+6)))*8)</f>
      </c>
      <c r="D22" s="143">
        <f>SUMPRODUCT((Gantt!$D$3:$D$52=$A22)*(Gantt!$E$3:$E$52&lt;=D$18+6)*(Gantt!$G$3:$G$52&gt;=D$18)*((Gantt!$G$3:$G$52-Gantt!$E$3:$E$52+1)-(Gantt!$E$3:$E$52&lt;D$18)*(D$18-Gantt!$E$3:$E$52)-(Gantt!$G$3:$G$52&gt;D$18+6)*(Gantt!$G$3:$G$52-(D$18+6)))*8)</f>
      </c>
      <c r="E22" s="143">
        <f>SUMPRODUCT((Gantt!$D$3:$D$52=$A22)*(Gantt!$E$3:$E$52&lt;=E$18+6)*(Gantt!$G$3:$G$52&gt;=E$18)*((Gantt!$G$3:$G$52-Gantt!$E$3:$E$52+1)-(Gantt!$E$3:$E$52&lt;E$18)*(E$18-Gantt!$E$3:$E$52)-(Gantt!$G$3:$G$52&gt;E$18+6)*(Gantt!$G$3:$G$52-(E$18+6)))*8)</f>
      </c>
      <c r="F22" s="143">
        <f>SUMPRODUCT((Gantt!$D$3:$D$52=$A22)*(Gantt!$E$3:$E$52&lt;=F$18+6)*(Gantt!$G$3:$G$52&gt;=F$18)*((Gantt!$G$3:$G$52-Gantt!$E$3:$E$52+1)-(Gantt!$E$3:$E$52&lt;F$18)*(F$18-Gantt!$E$3:$E$52)-(Gantt!$G$3:$G$52&gt;F$18+6)*(Gantt!$G$3:$G$52-(F$18+6)))*8)</f>
      </c>
      <c r="G22" s="143">
        <f>SUMPRODUCT((Gantt!$D$3:$D$52=$A22)*(Gantt!$E$3:$E$52&lt;=G$18+6)*(Gantt!$G$3:$G$52&gt;=G$18)*((Gantt!$G$3:$G$52-Gantt!$E$3:$E$52+1)-(Gantt!$E$3:$E$52&lt;G$18)*(G$18-Gantt!$E$3:$E$52)-(Gantt!$G$3:$G$52&gt;G$18+6)*(Gantt!$G$3:$G$52-(G$18+6)))*8)</f>
      </c>
      <c r="H22" s="143">
        <f>SUMPRODUCT((Gantt!$D$3:$D$52=$A22)*(Gantt!$E$3:$E$52&lt;=H$18+6)*(Gantt!$G$3:$G$52&gt;=H$18)*((Gantt!$G$3:$G$52-Gantt!$E$3:$E$52+1)-(Gantt!$E$3:$E$52&lt;H$18)*(H$18-Gantt!$E$3:$E$52)-(Gantt!$G$3:$G$52&gt;H$18+6)*(Gantt!$G$3:$G$52-(H$18+6)))*8)</f>
      </c>
      <c r="I22" s="143">
        <f>SUMPRODUCT((Gantt!$D$3:$D$52=$A22)*(Gantt!$E$3:$E$52&lt;=I$18+6)*(Gantt!$G$3:$G$52&gt;=I$18)*((Gantt!$G$3:$G$52-Gantt!$E$3:$E$52+1)-(Gantt!$E$3:$E$52&lt;I$18)*(I$18-Gantt!$E$3:$E$52)-(Gantt!$G$3:$G$52&gt;I$18+6)*(Gantt!$G$3:$G$52-(I$18+6)))*8)</f>
      </c>
      <c r="J22" s="143">
        <f>SUMPRODUCT((Gantt!$D$3:$D$52=$A22)*(Gantt!$E$3:$E$52&lt;=J$18+6)*(Gantt!$G$3:$G$52&gt;=J$18)*((Gantt!$G$3:$G$52-Gantt!$E$3:$E$52+1)-(Gantt!$E$3:$E$52&lt;J$18)*(J$18-Gantt!$E$3:$E$52)-(Gantt!$G$3:$G$52&gt;J$18+6)*(Gantt!$G$3:$G$52-(J$18+6)))*8)</f>
      </c>
      <c r="K22" s="143">
        <f>SUMPRODUCT((Gantt!$D$3:$D$52=$A22)*(Gantt!$E$3:$E$52&lt;=K$18+6)*(Gantt!$G$3:$G$52&gt;=K$18)*((Gantt!$G$3:$G$52-Gantt!$E$3:$E$52+1)-(Gantt!$E$3:$E$52&lt;K$18)*(K$18-Gantt!$E$3:$E$52)-(Gantt!$G$3:$G$52&gt;K$18+6)*(Gantt!$G$3:$G$52-(K$18+6)))*8)</f>
      </c>
      <c r="L22" s="142">
        <f t="shared" si="1"/>
        <v>0</v>
      </c>
      <c r="M22" s="144">
        <f>IFERROR(L22/($D$8*10),0)</f>
        <v>0</v>
      </c>
      <c r="N22" s="61"/>
      <c r="O22" s="61"/>
      <c r="P22" s="61"/>
    </row>
    <row r="23" spans="1:16" ht="15" customHeight="1" x14ac:dyDescent="0.25">
      <c r="A23" s="140" t="s">
        <v>472</v>
      </c>
      <c r="B23" s="143">
        <f>SUMPRODUCT((Gantt!$D$3:$D$52=$A23)*(Gantt!$E$3:$E$52&lt;=B$18+6)*(Gantt!$G$3:$G$52&gt;=B$18)*((Gantt!$G$3:$G$52-Gantt!$E$3:$E$52+1)-(Gantt!$E$3:$E$52&lt;B$18)*(B$18-Gantt!$E$3:$E$52)-(Gantt!$G$3:$G$52&gt;B$18+6)*(Gantt!$G$3:$G$52-(B$18+6)))*8)</f>
      </c>
      <c r="C23" s="143">
        <f>SUMPRODUCT((Gantt!$D$3:$D$52=$A23)*(Gantt!$E$3:$E$52&lt;=C$18+6)*(Gantt!$G$3:$G$52&gt;=C$18)*((Gantt!$G$3:$G$52-Gantt!$E$3:$E$52+1)-(Gantt!$E$3:$E$52&lt;C$18)*(C$18-Gantt!$E$3:$E$52)-(Gantt!$G$3:$G$52&gt;C$18+6)*(Gantt!$G$3:$G$52-(C$18+6)))*8)</f>
      </c>
      <c r="D23" s="143">
        <f>SUMPRODUCT((Gantt!$D$3:$D$52=$A23)*(Gantt!$E$3:$E$52&lt;=D$18+6)*(Gantt!$G$3:$G$52&gt;=D$18)*((Gantt!$G$3:$G$52-Gantt!$E$3:$E$52+1)-(Gantt!$E$3:$E$52&lt;D$18)*(D$18-Gantt!$E$3:$E$52)-(Gantt!$G$3:$G$52&gt;D$18+6)*(Gantt!$G$3:$G$52-(D$18+6)))*8)</f>
      </c>
      <c r="E23" s="143">
        <f>SUMPRODUCT((Gantt!$D$3:$D$52=$A23)*(Gantt!$E$3:$E$52&lt;=E$18+6)*(Gantt!$G$3:$G$52&gt;=E$18)*((Gantt!$G$3:$G$52-Gantt!$E$3:$E$52+1)-(Gantt!$E$3:$E$52&lt;E$18)*(E$18-Gantt!$E$3:$E$52)-(Gantt!$G$3:$G$52&gt;E$18+6)*(Gantt!$G$3:$G$52-(E$18+6)))*8)</f>
      </c>
      <c r="F23" s="143">
        <f>SUMPRODUCT((Gantt!$D$3:$D$52=$A23)*(Gantt!$E$3:$E$52&lt;=F$18+6)*(Gantt!$G$3:$G$52&gt;=F$18)*((Gantt!$G$3:$G$52-Gantt!$E$3:$E$52+1)-(Gantt!$E$3:$E$52&lt;F$18)*(F$18-Gantt!$E$3:$E$52)-(Gantt!$G$3:$G$52&gt;F$18+6)*(Gantt!$G$3:$G$52-(F$18+6)))*8)</f>
      </c>
      <c r="G23" s="143">
        <f>SUMPRODUCT((Gantt!$D$3:$D$52=$A23)*(Gantt!$E$3:$E$52&lt;=G$18+6)*(Gantt!$G$3:$G$52&gt;=G$18)*((Gantt!$G$3:$G$52-Gantt!$E$3:$E$52+1)-(Gantt!$E$3:$E$52&lt;G$18)*(G$18-Gantt!$E$3:$E$52)-(Gantt!$G$3:$G$52&gt;G$18+6)*(Gantt!$G$3:$G$52-(G$18+6)))*8)</f>
      </c>
      <c r="H23" s="143">
        <f>SUMPRODUCT((Gantt!$D$3:$D$52=$A23)*(Gantt!$E$3:$E$52&lt;=H$18+6)*(Gantt!$G$3:$G$52&gt;=H$18)*((Gantt!$G$3:$G$52-Gantt!$E$3:$E$52+1)-(Gantt!$E$3:$E$52&lt;H$18)*(H$18-Gantt!$E$3:$E$52)-(Gantt!$G$3:$G$52&gt;H$18+6)*(Gantt!$G$3:$G$52-(H$18+6)))*8)</f>
      </c>
      <c r="I23" s="143">
        <f>SUMPRODUCT((Gantt!$D$3:$D$52=$A23)*(Gantt!$E$3:$E$52&lt;=I$18+6)*(Gantt!$G$3:$G$52&gt;=I$18)*((Gantt!$G$3:$G$52-Gantt!$E$3:$E$52+1)-(Gantt!$E$3:$E$52&lt;I$18)*(I$18-Gantt!$E$3:$E$52)-(Gantt!$G$3:$G$52&gt;I$18+6)*(Gantt!$G$3:$G$52-(I$18+6)))*8)</f>
      </c>
      <c r="J23" s="143">
        <f>SUMPRODUCT((Gantt!$D$3:$D$52=$A23)*(Gantt!$E$3:$E$52&lt;=J$18+6)*(Gantt!$G$3:$G$52&gt;=J$18)*((Gantt!$G$3:$G$52-Gantt!$E$3:$E$52+1)-(Gantt!$E$3:$E$52&lt;J$18)*(J$18-Gantt!$E$3:$E$52)-(Gantt!$G$3:$G$52&gt;J$18+6)*(Gantt!$G$3:$G$52-(J$18+6)))*8)</f>
      </c>
      <c r="K23" s="143">
        <f>SUMPRODUCT((Gantt!$D$3:$D$52=$A23)*(Gantt!$E$3:$E$52&lt;=K$18+6)*(Gantt!$G$3:$G$52&gt;=K$18)*((Gantt!$G$3:$G$52-Gantt!$E$3:$E$52+1)-(Gantt!$E$3:$E$52&lt;K$18)*(K$18-Gantt!$E$3:$E$52)-(Gantt!$G$3:$G$52&gt;K$18+6)*(Gantt!$G$3:$G$52-(K$18+6)))*8)</f>
      </c>
      <c r="L23" s="142">
        <f t="shared" si="1"/>
        <v>16</v>
      </c>
      <c r="M23" s="144">
        <f>IFERROR(L23/($D$9*10),0)</f>
        <v>8.0000000000000002E-3</v>
      </c>
      <c r="N23" s="61"/>
      <c r="O23" s="61"/>
      <c r="P23" s="61"/>
    </row>
    <row r="24" spans="1:16" ht="15" customHeight="1" x14ac:dyDescent="0.25">
      <c r="A24" s="140" t="s">
        <v>473</v>
      </c>
      <c r="B24" s="143">
        <f>SUMPRODUCT((Gantt!$D$3:$D$52=$A24)*(Gantt!$E$3:$E$52&lt;=B$18+6)*(Gantt!$G$3:$G$52&gt;=B$18)*((Gantt!$G$3:$G$52-Gantt!$E$3:$E$52+1)-(Gantt!$E$3:$E$52&lt;B$18)*(B$18-Gantt!$E$3:$E$52)-(Gantt!$G$3:$G$52&gt;B$18+6)*(Gantt!$G$3:$G$52-(B$18+6)))*8)</f>
      </c>
      <c r="C24" s="143">
        <f>SUMPRODUCT((Gantt!$D$3:$D$52=$A24)*(Gantt!$E$3:$E$52&lt;=C$18+6)*(Gantt!$G$3:$G$52&gt;=C$18)*((Gantt!$G$3:$G$52-Gantt!$E$3:$E$52+1)-(Gantt!$E$3:$E$52&lt;C$18)*(C$18-Gantt!$E$3:$E$52)-(Gantt!$G$3:$G$52&gt;C$18+6)*(Gantt!$G$3:$G$52-(C$18+6)))*8)</f>
      </c>
      <c r="D24" s="143">
        <f>SUMPRODUCT((Gantt!$D$3:$D$52=$A24)*(Gantt!$E$3:$E$52&lt;=D$18+6)*(Gantt!$G$3:$G$52&gt;=D$18)*((Gantt!$G$3:$G$52-Gantt!$E$3:$E$52+1)-(Gantt!$E$3:$E$52&lt;D$18)*(D$18-Gantt!$E$3:$E$52)-(Gantt!$G$3:$G$52&gt;D$18+6)*(Gantt!$G$3:$G$52-(D$18+6)))*8)</f>
      </c>
      <c r="E24" s="143">
        <f>SUMPRODUCT((Gantt!$D$3:$D$52=$A24)*(Gantt!$E$3:$E$52&lt;=E$18+6)*(Gantt!$G$3:$G$52&gt;=E$18)*((Gantt!$G$3:$G$52-Gantt!$E$3:$E$52+1)-(Gantt!$E$3:$E$52&lt;E$18)*(E$18-Gantt!$E$3:$E$52)-(Gantt!$G$3:$G$52&gt;E$18+6)*(Gantt!$G$3:$G$52-(E$18+6)))*8)</f>
      </c>
      <c r="F24" s="143">
        <f>SUMPRODUCT((Gantt!$D$3:$D$52=$A24)*(Gantt!$E$3:$E$52&lt;=F$18+6)*(Gantt!$G$3:$G$52&gt;=F$18)*((Gantt!$G$3:$G$52-Gantt!$E$3:$E$52+1)-(Gantt!$E$3:$E$52&lt;F$18)*(F$18-Gantt!$E$3:$E$52)-(Gantt!$G$3:$G$52&gt;F$18+6)*(Gantt!$G$3:$G$52-(F$18+6)))*8)</f>
      </c>
      <c r="G24" s="143">
        <f>SUMPRODUCT((Gantt!$D$3:$D$52=$A24)*(Gantt!$E$3:$E$52&lt;=G$18+6)*(Gantt!$G$3:$G$52&gt;=G$18)*((Gantt!$G$3:$G$52-Gantt!$E$3:$E$52+1)-(Gantt!$E$3:$E$52&lt;G$18)*(G$18-Gantt!$E$3:$E$52)-(Gantt!$G$3:$G$52&gt;G$18+6)*(Gantt!$G$3:$G$52-(G$18+6)))*8)</f>
      </c>
      <c r="H24" s="143">
        <f>SUMPRODUCT((Gantt!$D$3:$D$52=$A24)*(Gantt!$E$3:$E$52&lt;=H$18+6)*(Gantt!$G$3:$G$52&gt;=H$18)*((Gantt!$G$3:$G$52-Gantt!$E$3:$E$52+1)-(Gantt!$E$3:$E$52&lt;H$18)*(H$18-Gantt!$E$3:$E$52)-(Gantt!$G$3:$G$52&gt;H$18+6)*(Gantt!$G$3:$G$52-(H$18+6)))*8)</f>
      </c>
      <c r="I24" s="143">
        <f>SUMPRODUCT((Gantt!$D$3:$D$52=$A24)*(Gantt!$E$3:$E$52&lt;=I$18+6)*(Gantt!$G$3:$G$52&gt;=I$18)*((Gantt!$G$3:$G$52-Gantt!$E$3:$E$52+1)-(Gantt!$E$3:$E$52&lt;I$18)*(I$18-Gantt!$E$3:$E$52)-(Gantt!$G$3:$G$52&gt;I$18+6)*(Gantt!$G$3:$G$52-(I$18+6)))*8)</f>
      </c>
      <c r="J24" s="143">
        <f>SUMPRODUCT((Gantt!$D$3:$D$52=$A24)*(Gantt!$E$3:$E$52&lt;=J$18+6)*(Gantt!$G$3:$G$52&gt;=J$18)*((Gantt!$G$3:$G$52-Gantt!$E$3:$E$52+1)-(Gantt!$E$3:$E$52&lt;J$18)*(J$18-Gantt!$E$3:$E$52)-(Gantt!$G$3:$G$52&gt;J$18+6)*(Gantt!$G$3:$G$52-(J$18+6)))*8)</f>
      </c>
      <c r="K24" s="143">
        <f>SUMPRODUCT((Gantt!$D$3:$D$52=$A24)*(Gantt!$E$3:$E$52&lt;=K$18+6)*(Gantt!$G$3:$G$52&gt;=K$18)*((Gantt!$G$3:$G$52-Gantt!$E$3:$E$52+1)-(Gantt!$E$3:$E$52&lt;K$18)*(K$18-Gantt!$E$3:$E$52)-(Gantt!$G$3:$G$52&gt;K$18+6)*(Gantt!$G$3:$G$52-(K$18+6)))*8)</f>
      </c>
      <c r="L24" s="142">
        <f t="shared" si="1"/>
        <v>0</v>
      </c>
      <c r="M24" s="144">
        <f>IFERROR(L24/($D$10*10),0)</f>
        <v>0</v>
      </c>
      <c r="N24" s="61"/>
      <c r="O24" s="61"/>
      <c r="P24" s="61"/>
    </row>
    <row r="25" spans="1:16" ht="15" customHeight="1" x14ac:dyDescent="0.25">
      <c r="A25" s="140" t="s">
        <v>475</v>
      </c>
      <c r="B25" s="143">
        <f>SUMPRODUCT((Gantt!$D$3:$D$52=$A25)*(Gantt!$E$3:$E$52&lt;=B$18+6)*(Gantt!$G$3:$G$52&gt;=B$18)*((Gantt!$G$3:$G$52-Gantt!$E$3:$E$52+1)-(Gantt!$E$3:$E$52&lt;B$18)*(B$18-Gantt!$E$3:$E$52)-(Gantt!$G$3:$G$52&gt;B$18+6)*(Gantt!$G$3:$G$52-(B$18+6)))*8)</f>
      </c>
      <c r="C25" s="143">
        <f>SUMPRODUCT((Gantt!$D$3:$D$52=$A25)*(Gantt!$E$3:$E$52&lt;=C$18+6)*(Gantt!$G$3:$G$52&gt;=C$18)*((Gantt!$G$3:$G$52-Gantt!$E$3:$E$52+1)-(Gantt!$E$3:$E$52&lt;C$18)*(C$18-Gantt!$E$3:$E$52)-(Gantt!$G$3:$G$52&gt;C$18+6)*(Gantt!$G$3:$G$52-(C$18+6)))*8)</f>
      </c>
      <c r="D25" s="143">
        <f>SUMPRODUCT((Gantt!$D$3:$D$52=$A25)*(Gantt!$E$3:$E$52&lt;=D$18+6)*(Gantt!$G$3:$G$52&gt;=D$18)*((Gantt!$G$3:$G$52-Gantt!$E$3:$E$52+1)-(Gantt!$E$3:$E$52&lt;D$18)*(D$18-Gantt!$E$3:$E$52)-(Gantt!$G$3:$G$52&gt;D$18+6)*(Gantt!$G$3:$G$52-(D$18+6)))*8)</f>
      </c>
      <c r="E25" s="143">
        <f>SUMPRODUCT((Gantt!$D$3:$D$52=$A25)*(Gantt!$E$3:$E$52&lt;=E$18+6)*(Gantt!$G$3:$G$52&gt;=E$18)*((Gantt!$G$3:$G$52-Gantt!$E$3:$E$52+1)-(Gantt!$E$3:$E$52&lt;E$18)*(E$18-Gantt!$E$3:$E$52)-(Gantt!$G$3:$G$52&gt;E$18+6)*(Gantt!$G$3:$G$52-(E$18+6)))*8)</f>
      </c>
      <c r="F25" s="143">
        <f>SUMPRODUCT((Gantt!$D$3:$D$52=$A25)*(Gantt!$E$3:$E$52&lt;=F$18+6)*(Gantt!$G$3:$G$52&gt;=F$18)*((Gantt!$G$3:$G$52-Gantt!$E$3:$E$52+1)-(Gantt!$E$3:$E$52&lt;F$18)*(F$18-Gantt!$E$3:$E$52)-(Gantt!$G$3:$G$52&gt;F$18+6)*(Gantt!$G$3:$G$52-(F$18+6)))*8)</f>
      </c>
      <c r="G25" s="143">
        <f>SUMPRODUCT((Gantt!$D$3:$D$52=$A25)*(Gantt!$E$3:$E$52&lt;=G$18+6)*(Gantt!$G$3:$G$52&gt;=G$18)*((Gantt!$G$3:$G$52-Gantt!$E$3:$E$52+1)-(Gantt!$E$3:$E$52&lt;G$18)*(G$18-Gantt!$E$3:$E$52)-(Gantt!$G$3:$G$52&gt;G$18+6)*(Gantt!$G$3:$G$52-(G$18+6)))*8)</f>
      </c>
      <c r="H25" s="143">
        <f>SUMPRODUCT((Gantt!$D$3:$D$52=$A25)*(Gantt!$E$3:$E$52&lt;=H$18+6)*(Gantt!$G$3:$G$52&gt;=H$18)*((Gantt!$G$3:$G$52-Gantt!$E$3:$E$52+1)-(Gantt!$E$3:$E$52&lt;H$18)*(H$18-Gantt!$E$3:$E$52)-(Gantt!$G$3:$G$52&gt;H$18+6)*(Gantt!$G$3:$G$52-(H$18+6)))*8)</f>
      </c>
      <c r="I25" s="143">
        <f>SUMPRODUCT((Gantt!$D$3:$D$52=$A25)*(Gantt!$E$3:$E$52&lt;=I$18+6)*(Gantt!$G$3:$G$52&gt;=I$18)*((Gantt!$G$3:$G$52-Gantt!$E$3:$E$52+1)-(Gantt!$E$3:$E$52&lt;I$18)*(I$18-Gantt!$E$3:$E$52)-(Gantt!$G$3:$G$52&gt;I$18+6)*(Gantt!$G$3:$G$52-(I$18+6)))*8)</f>
      </c>
      <c r="J25" s="143">
        <f>SUMPRODUCT((Gantt!$D$3:$D$52=$A25)*(Gantt!$E$3:$E$52&lt;=J$18+6)*(Gantt!$G$3:$G$52&gt;=J$18)*((Gantt!$G$3:$G$52-Gantt!$E$3:$E$52+1)-(Gantt!$E$3:$E$52&lt;J$18)*(J$18-Gantt!$E$3:$E$52)-(Gantt!$G$3:$G$52&gt;J$18+6)*(Gantt!$G$3:$G$52-(J$18+6)))*8)</f>
      </c>
      <c r="K25" s="143">
        <f>SUMPRODUCT((Gantt!$D$3:$D$52=$A25)*(Gantt!$E$3:$E$52&lt;=K$18+6)*(Gantt!$G$3:$G$52&gt;=K$18)*((Gantt!$G$3:$G$52-Gantt!$E$3:$E$52+1)-(Gantt!$E$3:$E$52&lt;K$18)*(K$18-Gantt!$E$3:$E$52)-(Gantt!$G$3:$G$52&gt;K$18+6)*(Gantt!$G$3:$G$52-(K$18+6)))*8)</f>
      </c>
      <c r="L25" s="142">
        <f t="shared" si="1"/>
        <v>0</v>
      </c>
      <c r="M25" s="144">
        <f>IFERROR(L25/($D$11*10),0)</f>
        <v>0</v>
      </c>
      <c r="N25" s="61"/>
      <c r="O25" s="61"/>
      <c r="P25" s="61"/>
    </row>
    <row r="26" spans="1:16" ht="15" customHeight="1" x14ac:dyDescent="0.25">
      <c r="A26" s="140" t="s">
        <v>476</v>
      </c>
      <c r="B26" s="143">
        <f>SUMPRODUCT((Gantt!$D$3:$D$52=$A26)*(Gantt!$E$3:$E$52&lt;=B$18+6)*(Gantt!$G$3:$G$52&gt;=B$18)*((Gantt!$G$3:$G$52-Gantt!$E$3:$E$52+1)-(Gantt!$E$3:$E$52&lt;B$18)*(B$18-Gantt!$E$3:$E$52)-(Gantt!$G$3:$G$52&gt;B$18+6)*(Gantt!$G$3:$G$52-(B$18+6)))*8)</f>
      </c>
      <c r="C26" s="143">
        <f>SUMPRODUCT((Gantt!$D$3:$D$52=$A26)*(Gantt!$E$3:$E$52&lt;=C$18+6)*(Gantt!$G$3:$G$52&gt;=C$18)*((Gantt!$G$3:$G$52-Gantt!$E$3:$E$52+1)-(Gantt!$E$3:$E$52&lt;C$18)*(C$18-Gantt!$E$3:$E$52)-(Gantt!$G$3:$G$52&gt;C$18+6)*(Gantt!$G$3:$G$52-(C$18+6)))*8)</f>
      </c>
      <c r="D26" s="143">
        <f>SUMPRODUCT((Gantt!$D$3:$D$52=$A26)*(Gantt!$E$3:$E$52&lt;=D$18+6)*(Gantt!$G$3:$G$52&gt;=D$18)*((Gantt!$G$3:$G$52-Gantt!$E$3:$E$52+1)-(Gantt!$E$3:$E$52&lt;D$18)*(D$18-Gantt!$E$3:$E$52)-(Gantt!$G$3:$G$52&gt;D$18+6)*(Gantt!$G$3:$G$52-(D$18+6)))*8)</f>
      </c>
      <c r="E26" s="143">
        <f>SUMPRODUCT((Gantt!$D$3:$D$52=$A26)*(Gantt!$E$3:$E$52&lt;=E$18+6)*(Gantt!$G$3:$G$52&gt;=E$18)*((Gantt!$G$3:$G$52-Gantt!$E$3:$E$52+1)-(Gantt!$E$3:$E$52&lt;E$18)*(E$18-Gantt!$E$3:$E$52)-(Gantt!$G$3:$G$52&gt;E$18+6)*(Gantt!$G$3:$G$52-(E$18+6)))*8)</f>
      </c>
      <c r="F26" s="143">
        <f>SUMPRODUCT((Gantt!$D$3:$D$52=$A26)*(Gantt!$E$3:$E$52&lt;=F$18+6)*(Gantt!$G$3:$G$52&gt;=F$18)*((Gantt!$G$3:$G$52-Gantt!$E$3:$E$52+1)-(Gantt!$E$3:$E$52&lt;F$18)*(F$18-Gantt!$E$3:$E$52)-(Gantt!$G$3:$G$52&gt;F$18+6)*(Gantt!$G$3:$G$52-(F$18+6)))*8)</f>
      </c>
      <c r="G26" s="143">
        <f>SUMPRODUCT((Gantt!$D$3:$D$52=$A26)*(Gantt!$E$3:$E$52&lt;=G$18+6)*(Gantt!$G$3:$G$52&gt;=G$18)*((Gantt!$G$3:$G$52-Gantt!$E$3:$E$52+1)-(Gantt!$E$3:$E$52&lt;G$18)*(G$18-Gantt!$E$3:$E$52)-(Gantt!$G$3:$G$52&gt;G$18+6)*(Gantt!$G$3:$G$52-(G$18+6)))*8)</f>
      </c>
      <c r="H26" s="143">
        <f>SUMPRODUCT((Gantt!$D$3:$D$52=$A26)*(Gantt!$E$3:$E$52&lt;=H$18+6)*(Gantt!$G$3:$G$52&gt;=H$18)*((Gantt!$G$3:$G$52-Gantt!$E$3:$E$52+1)-(Gantt!$E$3:$E$52&lt;H$18)*(H$18-Gantt!$E$3:$E$52)-(Gantt!$G$3:$G$52&gt;H$18+6)*(Gantt!$G$3:$G$52-(H$18+6)))*8)</f>
      </c>
      <c r="I26" s="143">
        <f>SUMPRODUCT((Gantt!$D$3:$D$52=$A26)*(Gantt!$E$3:$E$52&lt;=I$18+6)*(Gantt!$G$3:$G$52&gt;=I$18)*((Gantt!$G$3:$G$52-Gantt!$E$3:$E$52+1)-(Gantt!$E$3:$E$52&lt;I$18)*(I$18-Gantt!$E$3:$E$52)-(Gantt!$G$3:$G$52&gt;I$18+6)*(Gantt!$G$3:$G$52-(I$18+6)))*8)</f>
      </c>
      <c r="J26" s="143">
        <f>SUMPRODUCT((Gantt!$D$3:$D$52=$A26)*(Gantt!$E$3:$E$52&lt;=J$18+6)*(Gantt!$G$3:$G$52&gt;=J$18)*((Gantt!$G$3:$G$52-Gantt!$E$3:$E$52+1)-(Gantt!$E$3:$E$52&lt;J$18)*(J$18-Gantt!$E$3:$E$52)-(Gantt!$G$3:$G$52&gt;J$18+6)*(Gantt!$G$3:$G$52-(J$18+6)))*8)</f>
      </c>
      <c r="K26" s="143">
        <f>SUMPRODUCT((Gantt!$D$3:$D$52=$A26)*(Gantt!$E$3:$E$52&lt;=K$18+6)*(Gantt!$G$3:$G$52&gt;=K$18)*((Gantt!$G$3:$G$52-Gantt!$E$3:$E$52+1)-(Gantt!$E$3:$E$52&lt;K$18)*(K$18-Gantt!$E$3:$E$52)-(Gantt!$G$3:$G$52&gt;K$18+6)*(Gantt!$G$3:$G$52-(K$18+6)))*8)</f>
      </c>
      <c r="L26" s="142">
        <f t="shared" si="1"/>
        <v>0</v>
      </c>
      <c r="M26" s="144">
        <f>IFERROR(L26/($D$12*10),0)</f>
        <v>0</v>
      </c>
      <c r="N26" s="61"/>
      <c r="O26" s="61"/>
      <c r="P26" s="61"/>
    </row>
    <row r="27" spans="1:16" ht="15" customHeight="1" x14ac:dyDescent="0.25">
      <c r="A27" s="140" t="s">
        <v>477</v>
      </c>
      <c r="B27" s="143">
        <f>SUMPRODUCT((Gantt!$D$3:$D$52=$A27)*(Gantt!$E$3:$E$52&lt;=B$18+6)*(Gantt!$G$3:$G$52&gt;=B$18)*((Gantt!$G$3:$G$52-Gantt!$E$3:$E$52+1)-(Gantt!$E$3:$E$52&lt;B$18)*(B$18-Gantt!$E$3:$E$52)-(Gantt!$G$3:$G$52&gt;B$18+6)*(Gantt!$G$3:$G$52-(B$18+6)))*8)</f>
      </c>
      <c r="C27" s="143">
        <f>SUMPRODUCT((Gantt!$D$3:$D$52=$A27)*(Gantt!$E$3:$E$52&lt;=C$18+6)*(Gantt!$G$3:$G$52&gt;=C$18)*((Gantt!$G$3:$G$52-Gantt!$E$3:$E$52+1)-(Gantt!$E$3:$E$52&lt;C$18)*(C$18-Gantt!$E$3:$E$52)-(Gantt!$G$3:$G$52&gt;C$18+6)*(Gantt!$G$3:$G$52-(C$18+6)))*8)</f>
      </c>
      <c r="D27" s="143">
        <f>SUMPRODUCT((Gantt!$D$3:$D$52=$A27)*(Gantt!$E$3:$E$52&lt;=D$18+6)*(Gantt!$G$3:$G$52&gt;=D$18)*((Gantt!$G$3:$G$52-Gantt!$E$3:$E$52+1)-(Gantt!$E$3:$E$52&lt;D$18)*(D$18-Gantt!$E$3:$E$52)-(Gantt!$G$3:$G$52&gt;D$18+6)*(Gantt!$G$3:$G$52-(D$18+6)))*8)</f>
      </c>
      <c r="E27" s="143">
        <f>SUMPRODUCT((Gantt!$D$3:$D$52=$A27)*(Gantt!$E$3:$E$52&lt;=E$18+6)*(Gantt!$G$3:$G$52&gt;=E$18)*((Gantt!$G$3:$G$52-Gantt!$E$3:$E$52+1)-(Gantt!$E$3:$E$52&lt;E$18)*(E$18-Gantt!$E$3:$E$52)-(Gantt!$G$3:$G$52&gt;E$18+6)*(Gantt!$G$3:$G$52-(E$18+6)))*8)</f>
      </c>
      <c r="F27" s="143">
        <f>SUMPRODUCT((Gantt!$D$3:$D$52=$A27)*(Gantt!$E$3:$E$52&lt;=F$18+6)*(Gantt!$G$3:$G$52&gt;=F$18)*((Gantt!$G$3:$G$52-Gantt!$E$3:$E$52+1)-(Gantt!$E$3:$E$52&lt;F$18)*(F$18-Gantt!$E$3:$E$52)-(Gantt!$G$3:$G$52&gt;F$18+6)*(Gantt!$G$3:$G$52-(F$18+6)))*8)</f>
      </c>
      <c r="G27" s="143">
        <f>SUMPRODUCT((Gantt!$D$3:$D$52=$A27)*(Gantt!$E$3:$E$52&lt;=G$18+6)*(Gantt!$G$3:$G$52&gt;=G$18)*((Gantt!$G$3:$G$52-Gantt!$E$3:$E$52+1)-(Gantt!$E$3:$E$52&lt;G$18)*(G$18-Gantt!$E$3:$E$52)-(Gantt!$G$3:$G$52&gt;G$18+6)*(Gantt!$G$3:$G$52-(G$18+6)))*8)</f>
      </c>
      <c r="H27" s="143">
        <f>SUMPRODUCT((Gantt!$D$3:$D$52=$A27)*(Gantt!$E$3:$E$52&lt;=H$18+6)*(Gantt!$G$3:$G$52&gt;=H$18)*((Gantt!$G$3:$G$52-Gantt!$E$3:$E$52+1)-(Gantt!$E$3:$E$52&lt;H$18)*(H$18-Gantt!$E$3:$E$52)-(Gantt!$G$3:$G$52&gt;H$18+6)*(Gantt!$G$3:$G$52-(H$18+6)))*8)</f>
      </c>
      <c r="I27" s="143">
        <f>SUMPRODUCT((Gantt!$D$3:$D$52=$A27)*(Gantt!$E$3:$E$52&lt;=I$18+6)*(Gantt!$G$3:$G$52&gt;=I$18)*((Gantt!$G$3:$G$52-Gantt!$E$3:$E$52+1)-(Gantt!$E$3:$E$52&lt;I$18)*(I$18-Gantt!$E$3:$E$52)-(Gantt!$G$3:$G$52&gt;I$18+6)*(Gantt!$G$3:$G$52-(I$18+6)))*8)</f>
      </c>
      <c r="J27" s="143">
        <f>SUMPRODUCT((Gantt!$D$3:$D$52=$A27)*(Gantt!$E$3:$E$52&lt;=J$18+6)*(Gantt!$G$3:$G$52&gt;=J$18)*((Gantt!$G$3:$G$52-Gantt!$E$3:$E$52+1)-(Gantt!$E$3:$E$52&lt;J$18)*(J$18-Gantt!$E$3:$E$52)-(Gantt!$G$3:$G$52&gt;J$18+6)*(Gantt!$G$3:$G$52-(J$18+6)))*8)</f>
      </c>
      <c r="K27" s="143">
        <f>SUMPRODUCT((Gantt!$D$3:$D$52=$A27)*(Gantt!$E$3:$E$52&lt;=K$18+6)*(Gantt!$G$3:$G$52&gt;=K$18)*((Gantt!$G$3:$G$52-Gantt!$E$3:$E$52+1)-(Gantt!$E$3:$E$52&lt;K$18)*(K$18-Gantt!$E$3:$E$52)-(Gantt!$G$3:$G$52&gt;K$18+6)*(Gantt!$G$3:$G$52-(K$18+6)))*8)</f>
      </c>
      <c r="L27" s="142">
        <f t="shared" si="1"/>
        <v>32</v>
      </c>
      <c r="M27" s="144">
        <f>IFERROR(L27/($D$13*10),0)</f>
        <v>0.04</v>
      </c>
      <c r="N27" s="61"/>
      <c r="O27" s="61"/>
      <c r="P27" s="61"/>
    </row>
    <row r="28" spans="1:16" ht="15" customHeight="1" x14ac:dyDescent="0.25">
      <c r="A28" s="140" t="s">
        <v>478</v>
      </c>
      <c r="B28" s="143">
        <f>SUMPRODUCT((Gantt!$D$3:$D$52=$A28)*(Gantt!$E$3:$E$52&lt;=B$18+6)*(Gantt!$G$3:$G$52&gt;=B$18)*((Gantt!$G$3:$G$52-Gantt!$E$3:$E$52+1)-(Gantt!$E$3:$E$52&lt;B$18)*(B$18-Gantt!$E$3:$E$52)-(Gantt!$G$3:$G$52&gt;B$18+6)*(Gantt!$G$3:$G$52-(B$18+6)))*8)</f>
      </c>
      <c r="C28" s="143">
        <f>SUMPRODUCT((Gantt!$D$3:$D$52=$A28)*(Gantt!$E$3:$E$52&lt;=C$18+6)*(Gantt!$G$3:$G$52&gt;=C$18)*((Gantt!$G$3:$G$52-Gantt!$E$3:$E$52+1)-(Gantt!$E$3:$E$52&lt;C$18)*(C$18-Gantt!$E$3:$E$52)-(Gantt!$G$3:$G$52&gt;C$18+6)*(Gantt!$G$3:$G$52-(C$18+6)))*8)</f>
      </c>
      <c r="D28" s="143">
        <f>SUMPRODUCT((Gantt!$D$3:$D$52=$A28)*(Gantt!$E$3:$E$52&lt;=D$18+6)*(Gantt!$G$3:$G$52&gt;=D$18)*((Gantt!$G$3:$G$52-Gantt!$E$3:$E$52+1)-(Gantt!$E$3:$E$52&lt;D$18)*(D$18-Gantt!$E$3:$E$52)-(Gantt!$G$3:$G$52&gt;D$18+6)*(Gantt!$G$3:$G$52-(D$18+6)))*8)</f>
      </c>
      <c r="E28" s="143">
        <f>SUMPRODUCT((Gantt!$D$3:$D$52=$A28)*(Gantt!$E$3:$E$52&lt;=E$18+6)*(Gantt!$G$3:$G$52&gt;=E$18)*((Gantt!$G$3:$G$52-Gantt!$E$3:$E$52+1)-(Gantt!$E$3:$E$52&lt;E$18)*(E$18-Gantt!$E$3:$E$52)-(Gantt!$G$3:$G$52&gt;E$18+6)*(Gantt!$G$3:$G$52-(E$18+6)))*8)</f>
      </c>
      <c r="F28" s="143">
        <f>SUMPRODUCT((Gantt!$D$3:$D$52=$A28)*(Gantt!$E$3:$E$52&lt;=F$18+6)*(Gantt!$G$3:$G$52&gt;=F$18)*((Gantt!$G$3:$G$52-Gantt!$E$3:$E$52+1)-(Gantt!$E$3:$E$52&lt;F$18)*(F$18-Gantt!$E$3:$E$52)-(Gantt!$G$3:$G$52&gt;F$18+6)*(Gantt!$G$3:$G$52-(F$18+6)))*8)</f>
      </c>
      <c r="G28" s="143">
        <f>SUMPRODUCT((Gantt!$D$3:$D$52=$A28)*(Gantt!$E$3:$E$52&lt;=G$18+6)*(Gantt!$G$3:$G$52&gt;=G$18)*((Gantt!$G$3:$G$52-Gantt!$E$3:$E$52+1)-(Gantt!$E$3:$E$52&lt;G$18)*(G$18-Gantt!$E$3:$E$52)-(Gantt!$G$3:$G$52&gt;G$18+6)*(Gantt!$G$3:$G$52-(G$18+6)))*8)</f>
      </c>
      <c r="H28" s="143">
        <f>SUMPRODUCT((Gantt!$D$3:$D$52=$A28)*(Gantt!$E$3:$E$52&lt;=H$18+6)*(Gantt!$G$3:$G$52&gt;=H$18)*((Gantt!$G$3:$G$52-Gantt!$E$3:$E$52+1)-(Gantt!$E$3:$E$52&lt;H$18)*(H$18-Gantt!$E$3:$E$52)-(Gantt!$G$3:$G$52&gt;H$18+6)*(Gantt!$G$3:$G$52-(H$18+6)))*8)</f>
      </c>
      <c r="I28" s="143">
        <f>SUMPRODUCT((Gantt!$D$3:$D$52=$A28)*(Gantt!$E$3:$E$52&lt;=I$18+6)*(Gantt!$G$3:$G$52&gt;=I$18)*((Gantt!$G$3:$G$52-Gantt!$E$3:$E$52+1)-(Gantt!$E$3:$E$52&lt;I$18)*(I$18-Gantt!$E$3:$E$52)-(Gantt!$G$3:$G$52&gt;I$18+6)*(Gantt!$G$3:$G$52-(I$18+6)))*8)</f>
      </c>
      <c r="J28" s="143">
        <f>SUMPRODUCT((Gantt!$D$3:$D$52=$A28)*(Gantt!$E$3:$E$52&lt;=J$18+6)*(Gantt!$G$3:$G$52&gt;=J$18)*((Gantt!$G$3:$G$52-Gantt!$E$3:$E$52+1)-(Gantt!$E$3:$E$52&lt;J$18)*(J$18-Gantt!$E$3:$E$52)-(Gantt!$G$3:$G$52&gt;J$18+6)*(Gantt!$G$3:$G$52-(J$18+6)))*8)</f>
      </c>
      <c r="K28" s="143">
        <f>SUMPRODUCT((Gantt!$D$3:$D$52=$A28)*(Gantt!$E$3:$E$52&lt;=K$18+6)*(Gantt!$G$3:$G$52&gt;=K$18)*((Gantt!$G$3:$G$52-Gantt!$E$3:$E$52+1)-(Gantt!$E$3:$E$52&lt;K$18)*(K$18-Gantt!$E$3:$E$52)-(Gantt!$G$3:$G$52&gt;K$18+6)*(Gantt!$G$3:$G$52-(K$18+6)))*8)</f>
      </c>
      <c r="L28" s="142">
        <f t="shared" si="1"/>
        <v>104</v>
      </c>
      <c r="M28" s="144">
        <f>IFERROR(L28/($D$14*10),0)</f>
        <v>6.5000000000000002E-2</v>
      </c>
      <c r="N28" s="61"/>
      <c r="O28" s="61"/>
      <c r="P28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3">
    <mergeCell ref="A1:P1"/>
    <mergeCell ref="A3:P3"/>
    <mergeCell ref="A17:P17"/>
  </mergeCells>
  <conditionalFormatting sqref="B19:K28">
    <cfRule type="colorScale" priority="2">
      <colorScale>
        <cfvo type="min"/>
        <cfvo type="percentile" val="50"/>
        <cfvo type="max"/>
        <color rgb="FFC6EFCE"/>
        <color rgb="FFFFEB84"/>
        <color rgb="FFF8696B"/>
      </colorScale>
    </cfRule>
  </conditionalFormatting>
  <conditionalFormatting sqref="M19:M28">
    <cfRule type="expression" dxfId="55" priority="3">
      <formula>M19&gt;1</formula>
    </cfRule>
    <cfRule type="expression" dxfId="54" priority="4">
      <formula>M19&gt;=0.8</formula>
    </cfRule>
    <cfRule type="expression" dxfId="53" priority="5">
      <formula>M19&lt;0.8</formula>
    </cfRule>
  </conditionalFormatting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J37"/>
  <sheetViews>
    <sheetView zoomScaleNormal="100" workbookViewId="0">
      <pane ySplit="2" topLeftCell="A3" activePane="bottomLeft" state="frozen"/>
      <selection pane="bottomLeft" sqref="A1:J1"/>
    </sheetView>
  </sheetViews>
  <sheetFormatPr defaultColWidth="8.7109375" defaultRowHeight="15" x14ac:dyDescent="0.25"/>
  <cols>
    <col min="1" max="1" width="10" customWidth="1"/>
    <col min="2" max="2" width="26" customWidth="1"/>
    <col min="3" max="3" width="22" customWidth="1"/>
    <col min="4" max="4" width="16" customWidth="1"/>
    <col min="5" max="5" width="12" customWidth="1"/>
    <col min="6" max="6" width="18" customWidth="1"/>
    <col min="7" max="9" width="16" customWidth="1"/>
    <col min="10" max="10" width="10" customWidth="1"/>
  </cols>
  <sheetData>
    <row r="1" spans="1:10" ht="30" customHeight="1" x14ac:dyDescent="0.25">
      <c r="A1" s="71" t="s">
        <v>675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7.75" customHeight="1" x14ac:dyDescent="0.25">
      <c r="A2" s="63" t="s">
        <v>676</v>
      </c>
      <c r="B2" s="63" t="s">
        <v>396</v>
      </c>
      <c r="C2" s="63" t="s">
        <v>677</v>
      </c>
      <c r="D2" s="63" t="s">
        <v>668</v>
      </c>
      <c r="E2" s="63" t="s">
        <v>678</v>
      </c>
      <c r="F2" s="63" t="s">
        <v>679</v>
      </c>
      <c r="G2" s="63" t="s">
        <v>680</v>
      </c>
      <c r="H2" s="63" t="s">
        <v>681</v>
      </c>
      <c r="I2" s="63" t="s">
        <v>682</v>
      </c>
      <c r="J2" s="63" t="s">
        <v>683</v>
      </c>
    </row>
    <row r="3" spans="1:10" ht="15" customHeight="1" x14ac:dyDescent="0.25">
      <c r="A3" s="92" t="s">
        <v>684</v>
      </c>
      <c r="B3" s="115" t="s">
        <v>685</v>
      </c>
      <c r="C3" s="77" t="s">
        <v>686</v>
      </c>
      <c r="D3" s="77" t="s">
        <v>527</v>
      </c>
      <c r="E3" s="77" t="s">
        <v>687</v>
      </c>
      <c r="F3" s="100">
        <v>3500</v>
      </c>
      <c r="G3" s="101"/>
      <c r="H3" s="108">
        <v>176</v>
      </c>
      <c r="I3" s="102">
        <v>0.18</v>
      </c>
      <c r="J3" s="77" t="s">
        <v>688</v>
      </c>
    </row>
    <row r="4" spans="1:10" ht="15" customHeight="1" x14ac:dyDescent="0.25">
      <c r="A4" s="92" t="s">
        <v>689</v>
      </c>
      <c r="B4" s="115" t="s">
        <v>313</v>
      </c>
      <c r="C4" s="77" t="s">
        <v>690</v>
      </c>
      <c r="D4" s="77" t="s">
        <v>468</v>
      </c>
      <c r="E4" s="77" t="s">
        <v>687</v>
      </c>
      <c r="F4" s="100">
        <v>2200</v>
      </c>
      <c r="G4" s="101"/>
      <c r="H4" s="108">
        <v>176</v>
      </c>
      <c r="I4" s="102">
        <v>0.18</v>
      </c>
      <c r="J4" s="77" t="s">
        <v>688</v>
      </c>
    </row>
    <row r="5" spans="1:10" ht="15" customHeight="1" x14ac:dyDescent="0.25">
      <c r="A5" s="92" t="s">
        <v>691</v>
      </c>
      <c r="B5" s="115" t="s">
        <v>692</v>
      </c>
      <c r="C5" s="77" t="s">
        <v>693</v>
      </c>
      <c r="D5" s="77" t="s">
        <v>468</v>
      </c>
      <c r="E5" s="77" t="s">
        <v>687</v>
      </c>
      <c r="F5" s="100">
        <v>1900</v>
      </c>
      <c r="G5" s="101"/>
      <c r="H5" s="108">
        <v>176</v>
      </c>
      <c r="I5" s="102">
        <v>0.18</v>
      </c>
      <c r="J5" s="77" t="s">
        <v>688</v>
      </c>
    </row>
    <row r="6" spans="1:10" ht="15" customHeight="1" x14ac:dyDescent="0.25">
      <c r="A6" s="92" t="s">
        <v>694</v>
      </c>
      <c r="B6" s="115" t="s">
        <v>317</v>
      </c>
      <c r="C6" s="77" t="s">
        <v>695</v>
      </c>
      <c r="D6" s="77" t="s">
        <v>468</v>
      </c>
      <c r="E6" s="77" t="s">
        <v>687</v>
      </c>
      <c r="F6" s="100">
        <v>2400</v>
      </c>
      <c r="G6" s="101"/>
      <c r="H6" s="108">
        <v>176</v>
      </c>
      <c r="I6" s="102">
        <v>0.18</v>
      </c>
      <c r="J6" s="77" t="s">
        <v>688</v>
      </c>
    </row>
    <row r="7" spans="1:10" ht="15" customHeight="1" x14ac:dyDescent="0.25">
      <c r="A7" s="92" t="s">
        <v>696</v>
      </c>
      <c r="B7" s="115" t="s">
        <v>697</v>
      </c>
      <c r="C7" s="77" t="s">
        <v>698</v>
      </c>
      <c r="D7" s="77" t="s">
        <v>382</v>
      </c>
      <c r="E7" s="77" t="s">
        <v>687</v>
      </c>
      <c r="F7" s="100">
        <v>2100</v>
      </c>
      <c r="G7" s="101"/>
      <c r="H7" s="108">
        <v>176</v>
      </c>
      <c r="I7" s="102">
        <v>0.18</v>
      </c>
      <c r="J7" s="77" t="s">
        <v>688</v>
      </c>
    </row>
    <row r="8" spans="1:10" ht="15" customHeight="1" x14ac:dyDescent="0.25">
      <c r="A8" s="92" t="s">
        <v>699</v>
      </c>
      <c r="B8" s="115" t="s">
        <v>700</v>
      </c>
      <c r="C8" s="77" t="s">
        <v>701</v>
      </c>
      <c r="D8" s="77" t="s">
        <v>382</v>
      </c>
      <c r="E8" s="77" t="s">
        <v>687</v>
      </c>
      <c r="F8" s="100">
        <v>1700</v>
      </c>
      <c r="G8" s="101"/>
      <c r="H8" s="108">
        <v>176</v>
      </c>
      <c r="I8" s="102">
        <v>0.18</v>
      </c>
      <c r="J8" s="77" t="s">
        <v>688</v>
      </c>
    </row>
    <row r="9" spans="1:10" ht="15" customHeight="1" x14ac:dyDescent="0.25">
      <c r="A9" s="92" t="s">
        <v>702</v>
      </c>
      <c r="B9" s="115" t="s">
        <v>703</v>
      </c>
      <c r="C9" s="77" t="s">
        <v>701</v>
      </c>
      <c r="D9" s="77" t="s">
        <v>382</v>
      </c>
      <c r="E9" s="77" t="s">
        <v>687</v>
      </c>
      <c r="F9" s="100">
        <v>1600</v>
      </c>
      <c r="G9" s="101"/>
      <c r="H9" s="108">
        <v>176</v>
      </c>
      <c r="I9" s="102">
        <v>0.18</v>
      </c>
      <c r="J9" s="77" t="s">
        <v>688</v>
      </c>
    </row>
    <row r="10" spans="1:10" ht="15" customHeight="1" x14ac:dyDescent="0.25">
      <c r="A10" s="92" t="s">
        <v>704</v>
      </c>
      <c r="B10" s="115" t="s">
        <v>374</v>
      </c>
      <c r="C10" s="77" t="s">
        <v>705</v>
      </c>
      <c r="D10" s="77" t="s">
        <v>470</v>
      </c>
      <c r="E10" s="77" t="s">
        <v>706</v>
      </c>
      <c r="F10" s="101"/>
      <c r="G10" s="100">
        <v>11.5</v>
      </c>
      <c r="H10" s="108">
        <v>176</v>
      </c>
      <c r="I10" s="102">
        <v>0.18</v>
      </c>
      <c r="J10" s="77" t="s">
        <v>688</v>
      </c>
    </row>
    <row r="11" spans="1:10" ht="15" customHeight="1" x14ac:dyDescent="0.25">
      <c r="A11" s="92" t="s">
        <v>707</v>
      </c>
      <c r="B11" s="115" t="s">
        <v>708</v>
      </c>
      <c r="C11" s="77" t="s">
        <v>709</v>
      </c>
      <c r="D11" s="77" t="s">
        <v>470</v>
      </c>
      <c r="E11" s="77" t="s">
        <v>706</v>
      </c>
      <c r="F11" s="101"/>
      <c r="G11" s="100">
        <v>9</v>
      </c>
      <c r="H11" s="108">
        <v>176</v>
      </c>
      <c r="I11" s="102">
        <v>0.18</v>
      </c>
      <c r="J11" s="77" t="s">
        <v>688</v>
      </c>
    </row>
    <row r="12" spans="1:10" ht="15" customHeight="1" x14ac:dyDescent="0.25">
      <c r="A12" s="92" t="s">
        <v>710</v>
      </c>
      <c r="B12" s="115" t="s">
        <v>711</v>
      </c>
      <c r="C12" s="77" t="s">
        <v>712</v>
      </c>
      <c r="D12" s="77" t="s">
        <v>469</v>
      </c>
      <c r="E12" s="77" t="s">
        <v>706</v>
      </c>
      <c r="F12" s="101"/>
      <c r="G12" s="100">
        <v>8.5</v>
      </c>
      <c r="H12" s="108">
        <v>176</v>
      </c>
      <c r="I12" s="102">
        <v>0.18</v>
      </c>
      <c r="J12" s="77" t="s">
        <v>688</v>
      </c>
    </row>
    <row r="13" spans="1:10" ht="15" customHeight="1" x14ac:dyDescent="0.25">
      <c r="A13" s="92" t="s">
        <v>713</v>
      </c>
      <c r="B13" s="115" t="s">
        <v>714</v>
      </c>
      <c r="C13" s="77" t="s">
        <v>712</v>
      </c>
      <c r="D13" s="77" t="s">
        <v>469</v>
      </c>
      <c r="E13" s="77" t="s">
        <v>706</v>
      </c>
      <c r="F13" s="101"/>
      <c r="G13" s="100">
        <v>8.1999999999999993</v>
      </c>
      <c r="H13" s="108">
        <v>176</v>
      </c>
      <c r="I13" s="102">
        <v>0.18</v>
      </c>
      <c r="J13" s="77" t="s">
        <v>688</v>
      </c>
    </row>
    <row r="14" spans="1:10" ht="15" customHeight="1" x14ac:dyDescent="0.25">
      <c r="A14" s="92" t="s">
        <v>715</v>
      </c>
      <c r="B14" s="115" t="s">
        <v>716</v>
      </c>
      <c r="C14" s="77" t="s">
        <v>717</v>
      </c>
      <c r="D14" s="77" t="s">
        <v>469</v>
      </c>
      <c r="E14" s="77" t="s">
        <v>706</v>
      </c>
      <c r="F14" s="101"/>
      <c r="G14" s="100">
        <v>7</v>
      </c>
      <c r="H14" s="108">
        <v>176</v>
      </c>
      <c r="I14" s="102">
        <v>0.18</v>
      </c>
      <c r="J14" s="77" t="s">
        <v>688</v>
      </c>
    </row>
    <row r="15" spans="1:10" ht="15" customHeight="1" x14ac:dyDescent="0.25">
      <c r="A15" s="92" t="s">
        <v>718</v>
      </c>
      <c r="B15" s="115" t="s">
        <v>719</v>
      </c>
      <c r="C15" s="77" t="s">
        <v>720</v>
      </c>
      <c r="D15" s="77" t="s">
        <v>471</v>
      </c>
      <c r="E15" s="77" t="s">
        <v>706</v>
      </c>
      <c r="F15" s="101"/>
      <c r="G15" s="100">
        <v>8.5</v>
      </c>
      <c r="H15" s="108">
        <v>176</v>
      </c>
      <c r="I15" s="102">
        <v>0.18</v>
      </c>
      <c r="J15" s="77" t="s">
        <v>688</v>
      </c>
    </row>
    <row r="16" spans="1:10" ht="15" customHeight="1" x14ac:dyDescent="0.25">
      <c r="A16" s="92" t="s">
        <v>721</v>
      </c>
      <c r="B16" s="115" t="s">
        <v>722</v>
      </c>
      <c r="C16" s="77" t="s">
        <v>720</v>
      </c>
      <c r="D16" s="77" t="s">
        <v>471</v>
      </c>
      <c r="E16" s="77" t="s">
        <v>706</v>
      </c>
      <c r="F16" s="101"/>
      <c r="G16" s="100">
        <v>8.1999999999999993</v>
      </c>
      <c r="H16" s="108">
        <v>176</v>
      </c>
      <c r="I16" s="102">
        <v>0.18</v>
      </c>
      <c r="J16" s="77" t="s">
        <v>688</v>
      </c>
    </row>
    <row r="17" spans="1:10" ht="15" customHeight="1" x14ac:dyDescent="0.25">
      <c r="A17" s="92" t="s">
        <v>723</v>
      </c>
      <c r="B17" s="115" t="s">
        <v>724</v>
      </c>
      <c r="C17" s="77" t="s">
        <v>725</v>
      </c>
      <c r="D17" s="77" t="s">
        <v>472</v>
      </c>
      <c r="E17" s="77" t="s">
        <v>706</v>
      </c>
      <c r="F17" s="101"/>
      <c r="G17" s="100">
        <v>10</v>
      </c>
      <c r="H17" s="108">
        <v>176</v>
      </c>
      <c r="I17" s="102">
        <v>0.18</v>
      </c>
      <c r="J17" s="77" t="s">
        <v>688</v>
      </c>
    </row>
    <row r="18" spans="1:10" ht="15" customHeight="1" x14ac:dyDescent="0.25">
      <c r="A18" s="92" t="s">
        <v>726</v>
      </c>
      <c r="B18" s="115" t="s">
        <v>727</v>
      </c>
      <c r="C18" s="77" t="s">
        <v>728</v>
      </c>
      <c r="D18" s="77" t="s">
        <v>472</v>
      </c>
      <c r="E18" s="77" t="s">
        <v>706</v>
      </c>
      <c r="F18" s="101"/>
      <c r="G18" s="100">
        <v>8.5</v>
      </c>
      <c r="H18" s="108">
        <v>176</v>
      </c>
      <c r="I18" s="102">
        <v>0.18</v>
      </c>
      <c r="J18" s="77" t="s">
        <v>688</v>
      </c>
    </row>
    <row r="19" spans="1:10" ht="15" customHeight="1" x14ac:dyDescent="0.25">
      <c r="A19" s="92" t="s">
        <v>729</v>
      </c>
      <c r="B19" s="115" t="s">
        <v>730</v>
      </c>
      <c r="C19" s="77" t="s">
        <v>728</v>
      </c>
      <c r="D19" s="77" t="s">
        <v>472</v>
      </c>
      <c r="E19" s="77" t="s">
        <v>706</v>
      </c>
      <c r="F19" s="101"/>
      <c r="G19" s="100">
        <v>8.5</v>
      </c>
      <c r="H19" s="108">
        <v>176</v>
      </c>
      <c r="I19" s="102">
        <v>0.18</v>
      </c>
      <c r="J19" s="77" t="s">
        <v>688</v>
      </c>
    </row>
    <row r="20" spans="1:10" ht="15" customHeight="1" x14ac:dyDescent="0.25">
      <c r="A20" s="92" t="s">
        <v>731</v>
      </c>
      <c r="B20" s="115" t="s">
        <v>732</v>
      </c>
      <c r="C20" s="77" t="s">
        <v>728</v>
      </c>
      <c r="D20" s="77" t="s">
        <v>472</v>
      </c>
      <c r="E20" s="77" t="s">
        <v>706</v>
      </c>
      <c r="F20" s="101"/>
      <c r="G20" s="100">
        <v>8</v>
      </c>
      <c r="H20" s="108">
        <v>176</v>
      </c>
      <c r="I20" s="102">
        <v>0.18</v>
      </c>
      <c r="J20" s="77" t="s">
        <v>688</v>
      </c>
    </row>
    <row r="21" spans="1:10" ht="15" customHeight="1" x14ac:dyDescent="0.25">
      <c r="A21" s="92" t="s">
        <v>733</v>
      </c>
      <c r="B21" s="115" t="s">
        <v>734</v>
      </c>
      <c r="C21" s="77" t="s">
        <v>728</v>
      </c>
      <c r="D21" s="77" t="s">
        <v>472</v>
      </c>
      <c r="E21" s="77" t="s">
        <v>706</v>
      </c>
      <c r="F21" s="101"/>
      <c r="G21" s="100">
        <v>8</v>
      </c>
      <c r="H21" s="108">
        <v>176</v>
      </c>
      <c r="I21" s="102">
        <v>0.18</v>
      </c>
      <c r="J21" s="77" t="s">
        <v>688</v>
      </c>
    </row>
    <row r="22" spans="1:10" ht="15" customHeight="1" x14ac:dyDescent="0.25">
      <c r="A22" s="92" t="s">
        <v>735</v>
      </c>
      <c r="B22" s="115" t="s">
        <v>736</v>
      </c>
      <c r="C22" s="77" t="s">
        <v>737</v>
      </c>
      <c r="D22" s="77" t="s">
        <v>473</v>
      </c>
      <c r="E22" s="77" t="s">
        <v>706</v>
      </c>
      <c r="F22" s="101"/>
      <c r="G22" s="100">
        <v>9</v>
      </c>
      <c r="H22" s="108">
        <v>176</v>
      </c>
      <c r="I22" s="102">
        <v>0.18</v>
      </c>
      <c r="J22" s="77" t="s">
        <v>688</v>
      </c>
    </row>
    <row r="23" spans="1:10" ht="15" customHeight="1" x14ac:dyDescent="0.25">
      <c r="A23" s="92" t="s">
        <v>738</v>
      </c>
      <c r="B23" s="115" t="s">
        <v>739</v>
      </c>
      <c r="C23" s="77" t="s">
        <v>740</v>
      </c>
      <c r="D23" s="77" t="s">
        <v>473</v>
      </c>
      <c r="E23" s="77" t="s">
        <v>706</v>
      </c>
      <c r="F23" s="101"/>
      <c r="G23" s="100">
        <v>7.5</v>
      </c>
      <c r="H23" s="108">
        <v>176</v>
      </c>
      <c r="I23" s="102">
        <v>0.18</v>
      </c>
      <c r="J23" s="77" t="s">
        <v>688</v>
      </c>
    </row>
    <row r="24" spans="1:10" ht="15" customHeight="1" x14ac:dyDescent="0.25">
      <c r="A24" s="92" t="s">
        <v>741</v>
      </c>
      <c r="B24" s="115" t="s">
        <v>742</v>
      </c>
      <c r="C24" s="77" t="s">
        <v>740</v>
      </c>
      <c r="D24" s="77" t="s">
        <v>473</v>
      </c>
      <c r="E24" s="77" t="s">
        <v>706</v>
      </c>
      <c r="F24" s="101"/>
      <c r="G24" s="100">
        <v>7.5</v>
      </c>
      <c r="H24" s="108">
        <v>176</v>
      </c>
      <c r="I24" s="102">
        <v>0.18</v>
      </c>
      <c r="J24" s="77" t="s">
        <v>688</v>
      </c>
    </row>
    <row r="25" spans="1:10" ht="15" customHeight="1" x14ac:dyDescent="0.25">
      <c r="A25" s="92" t="s">
        <v>743</v>
      </c>
      <c r="B25" s="115" t="s">
        <v>744</v>
      </c>
      <c r="C25" s="77" t="s">
        <v>745</v>
      </c>
      <c r="D25" s="77" t="s">
        <v>475</v>
      </c>
      <c r="E25" s="77" t="s">
        <v>706</v>
      </c>
      <c r="F25" s="101"/>
      <c r="G25" s="100">
        <v>11</v>
      </c>
      <c r="H25" s="108">
        <v>176</v>
      </c>
      <c r="I25" s="102">
        <v>0.18</v>
      </c>
      <c r="J25" s="77" t="s">
        <v>688</v>
      </c>
    </row>
    <row r="26" spans="1:10" ht="15" customHeight="1" x14ac:dyDescent="0.25">
      <c r="A26" s="92" t="s">
        <v>746</v>
      </c>
      <c r="B26" s="115" t="s">
        <v>747</v>
      </c>
      <c r="C26" s="77" t="s">
        <v>748</v>
      </c>
      <c r="D26" s="77" t="s">
        <v>475</v>
      </c>
      <c r="E26" s="77" t="s">
        <v>706</v>
      </c>
      <c r="F26" s="101"/>
      <c r="G26" s="100">
        <v>9.5</v>
      </c>
      <c r="H26" s="108">
        <v>176</v>
      </c>
      <c r="I26" s="102">
        <v>0.18</v>
      </c>
      <c r="J26" s="77" t="s">
        <v>688</v>
      </c>
    </row>
    <row r="27" spans="1:10" ht="15" customHeight="1" x14ac:dyDescent="0.25">
      <c r="A27" s="92" t="s">
        <v>749</v>
      </c>
      <c r="B27" s="115" t="s">
        <v>750</v>
      </c>
      <c r="C27" s="77" t="s">
        <v>748</v>
      </c>
      <c r="D27" s="77" t="s">
        <v>475</v>
      </c>
      <c r="E27" s="77" t="s">
        <v>706</v>
      </c>
      <c r="F27" s="101"/>
      <c r="G27" s="100">
        <v>9</v>
      </c>
      <c r="H27" s="108">
        <v>176</v>
      </c>
      <c r="I27" s="102">
        <v>0.18</v>
      </c>
      <c r="J27" s="77" t="s">
        <v>688</v>
      </c>
    </row>
    <row r="28" spans="1:10" ht="15" customHeight="1" x14ac:dyDescent="0.25">
      <c r="A28" s="92" t="s">
        <v>751</v>
      </c>
      <c r="B28" s="115" t="s">
        <v>752</v>
      </c>
      <c r="C28" s="77" t="s">
        <v>748</v>
      </c>
      <c r="D28" s="77" t="s">
        <v>475</v>
      </c>
      <c r="E28" s="77" t="s">
        <v>706</v>
      </c>
      <c r="F28" s="101"/>
      <c r="G28" s="100">
        <v>9</v>
      </c>
      <c r="H28" s="108">
        <v>176</v>
      </c>
      <c r="I28" s="102">
        <v>0.18</v>
      </c>
      <c r="J28" s="77" t="s">
        <v>688</v>
      </c>
    </row>
    <row r="29" spans="1:10" ht="15" customHeight="1" x14ac:dyDescent="0.25">
      <c r="A29" s="92" t="s">
        <v>753</v>
      </c>
      <c r="B29" s="115" t="s">
        <v>754</v>
      </c>
      <c r="C29" s="77" t="s">
        <v>755</v>
      </c>
      <c r="D29" s="77" t="s">
        <v>476</v>
      </c>
      <c r="E29" s="77" t="s">
        <v>706</v>
      </c>
      <c r="F29" s="101"/>
      <c r="G29" s="100">
        <v>7</v>
      </c>
      <c r="H29" s="108">
        <v>176</v>
      </c>
      <c r="I29" s="102">
        <v>0.18</v>
      </c>
      <c r="J29" s="77" t="s">
        <v>688</v>
      </c>
    </row>
    <row r="30" spans="1:10" ht="15" customHeight="1" x14ac:dyDescent="0.25">
      <c r="A30" s="92" t="s">
        <v>756</v>
      </c>
      <c r="B30" s="115" t="s">
        <v>757</v>
      </c>
      <c r="C30" s="77" t="s">
        <v>758</v>
      </c>
      <c r="D30" s="77" t="s">
        <v>476</v>
      </c>
      <c r="E30" s="77" t="s">
        <v>706</v>
      </c>
      <c r="F30" s="101"/>
      <c r="G30" s="100">
        <v>7.5</v>
      </c>
      <c r="H30" s="108">
        <v>176</v>
      </c>
      <c r="I30" s="102">
        <v>0.18</v>
      </c>
      <c r="J30" s="77" t="s">
        <v>688</v>
      </c>
    </row>
    <row r="31" spans="1:10" ht="15" customHeight="1" x14ac:dyDescent="0.25">
      <c r="A31" s="92" t="s">
        <v>759</v>
      </c>
      <c r="B31" s="115" t="s">
        <v>760</v>
      </c>
      <c r="C31" s="77" t="s">
        <v>761</v>
      </c>
      <c r="D31" s="77" t="s">
        <v>477</v>
      </c>
      <c r="E31" s="77" t="s">
        <v>706</v>
      </c>
      <c r="F31" s="101"/>
      <c r="G31" s="100">
        <v>8.5</v>
      </c>
      <c r="H31" s="108">
        <v>176</v>
      </c>
      <c r="I31" s="102">
        <v>0.18</v>
      </c>
      <c r="J31" s="77" t="s">
        <v>688</v>
      </c>
    </row>
    <row r="32" spans="1:10" ht="15" customHeight="1" x14ac:dyDescent="0.25">
      <c r="A32" s="92" t="s">
        <v>762</v>
      </c>
      <c r="B32" s="115" t="s">
        <v>763</v>
      </c>
      <c r="C32" s="77" t="s">
        <v>764</v>
      </c>
      <c r="D32" s="77" t="s">
        <v>477</v>
      </c>
      <c r="E32" s="77" t="s">
        <v>706</v>
      </c>
      <c r="F32" s="101"/>
      <c r="G32" s="100">
        <v>9</v>
      </c>
      <c r="H32" s="108">
        <v>176</v>
      </c>
      <c r="I32" s="102">
        <v>0.18</v>
      </c>
      <c r="J32" s="77" t="s">
        <v>688</v>
      </c>
    </row>
    <row r="33" spans="1:10" ht="15" customHeight="1" x14ac:dyDescent="0.25">
      <c r="A33" s="92" t="s">
        <v>765</v>
      </c>
      <c r="B33" s="115" t="s">
        <v>766</v>
      </c>
      <c r="C33" s="77" t="s">
        <v>767</v>
      </c>
      <c r="D33" s="77" t="s">
        <v>478</v>
      </c>
      <c r="E33" s="77" t="s">
        <v>706</v>
      </c>
      <c r="F33" s="101"/>
      <c r="G33" s="100">
        <v>10</v>
      </c>
      <c r="H33" s="108">
        <v>176</v>
      </c>
      <c r="I33" s="102">
        <v>0.18</v>
      </c>
      <c r="J33" s="77" t="s">
        <v>688</v>
      </c>
    </row>
    <row r="34" spans="1:10" ht="15" customHeight="1" x14ac:dyDescent="0.25">
      <c r="A34" s="92" t="s">
        <v>768</v>
      </c>
      <c r="B34" s="115" t="s">
        <v>769</v>
      </c>
      <c r="C34" s="77" t="s">
        <v>767</v>
      </c>
      <c r="D34" s="77" t="s">
        <v>478</v>
      </c>
      <c r="E34" s="77" t="s">
        <v>706</v>
      </c>
      <c r="F34" s="101"/>
      <c r="G34" s="100">
        <v>9.5</v>
      </c>
      <c r="H34" s="108">
        <v>176</v>
      </c>
      <c r="I34" s="102">
        <v>0.18</v>
      </c>
      <c r="J34" s="77" t="s">
        <v>688</v>
      </c>
    </row>
    <row r="35" spans="1:10" ht="15" customHeight="1" x14ac:dyDescent="0.25">
      <c r="A35" s="92" t="s">
        <v>770</v>
      </c>
      <c r="B35" s="115" t="s">
        <v>771</v>
      </c>
      <c r="C35" s="77" t="s">
        <v>767</v>
      </c>
      <c r="D35" s="77" t="s">
        <v>478</v>
      </c>
      <c r="E35" s="77" t="s">
        <v>706</v>
      </c>
      <c r="F35" s="101"/>
      <c r="G35" s="100">
        <v>9.5</v>
      </c>
      <c r="H35" s="108">
        <v>176</v>
      </c>
      <c r="I35" s="102">
        <v>0.18</v>
      </c>
      <c r="J35" s="77" t="s">
        <v>688</v>
      </c>
    </row>
    <row r="36" spans="1:10" ht="15" customHeight="1" x14ac:dyDescent="0.25">
      <c r="A36" s="92" t="s">
        <v>772</v>
      </c>
      <c r="B36" s="115" t="s">
        <v>773</v>
      </c>
      <c r="C36" s="77" t="s">
        <v>774</v>
      </c>
      <c r="D36" s="77" t="s">
        <v>527</v>
      </c>
      <c r="E36" s="77" t="s">
        <v>687</v>
      </c>
      <c r="F36" s="100">
        <v>2500</v>
      </c>
      <c r="G36" s="101"/>
      <c r="H36" s="108">
        <v>176</v>
      </c>
      <c r="I36" s="102">
        <v>0.18</v>
      </c>
      <c r="J36" s="77" t="s">
        <v>688</v>
      </c>
    </row>
    <row r="37" spans="1:10" ht="15" customHeight="1" x14ac:dyDescent="0.25">
      <c r="A37" s="92" t="s">
        <v>775</v>
      </c>
      <c r="B37" s="115" t="s">
        <v>776</v>
      </c>
      <c r="C37" s="77" t="s">
        <v>777</v>
      </c>
      <c r="D37" s="77" t="s">
        <v>478</v>
      </c>
      <c r="E37" s="77" t="s">
        <v>687</v>
      </c>
      <c r="F37" s="100">
        <v>2000</v>
      </c>
      <c r="G37" s="101"/>
      <c r="H37" s="108">
        <v>176</v>
      </c>
      <c r="I37" s="102">
        <v>0.18</v>
      </c>
      <c r="J37" s="77" t="s">
        <v>688</v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J1"/>
  </mergeCells>
  <dataValidations count="3">
    <dataValidation type="list" allowBlank="1" sqref="D3:D37" xr:uid="{00000000-0002-0000-0C00-000000000000}">
      <formula1>List_Departments</formula1>
      <formula2>0</formula2>
    </dataValidation>
    <dataValidation type="list" allowBlank="1" sqref="E3:E37" xr:uid="{00000000-0002-0000-0C00-000001000000}">
      <formula1>"Salary,Hourly"</formula1>
      <formula2>0</formula2>
    </dataValidation>
    <dataValidation type="list" allowBlank="1" sqref="J3:J37" xr:uid="{00000000-0002-0000-0C00-000002000000}">
      <formula1>List_YesNo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M56"/>
  <sheetViews>
    <sheetView zoomScaleNormal="100" workbookViewId="0">
      <pane ySplit="2" topLeftCell="A3" activePane="bottomLeft" state="frozen"/>
      <selection pane="bottomLeft" sqref="A1:M1"/>
    </sheetView>
  </sheetViews>
  <sheetFormatPr defaultColWidth="8.7109375" defaultRowHeight="15" x14ac:dyDescent="0.25"/>
  <cols>
    <col min="1" max="1" width="10" customWidth="1"/>
    <col min="2" max="2" width="24" customWidth="1"/>
    <col min="3" max="3" width="16" customWidth="1"/>
    <col min="4" max="4" width="10" customWidth="1"/>
    <col min="5" max="5" width="16" customWidth="1"/>
    <col min="6" max="7" width="10" customWidth="1"/>
    <col min="8" max="10" width="14" customWidth="1"/>
    <col min="11" max="11" width="16" customWidth="1"/>
    <col min="12" max="13" width="18" customWidth="1"/>
  </cols>
  <sheetData>
    <row r="1" spans="1:13" ht="30" customHeight="1" x14ac:dyDescent="0.25">
      <c r="A1" s="71" t="s">
        <v>784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7.75" customHeight="1" x14ac:dyDescent="0.25">
      <c r="A2" s="63" t="s">
        <v>676</v>
      </c>
      <c r="B2" s="63" t="s">
        <v>396</v>
      </c>
      <c r="C2" s="63" t="s">
        <v>668</v>
      </c>
      <c r="D2" s="63" t="s">
        <v>678</v>
      </c>
      <c r="E2" s="63" t="s">
        <v>785</v>
      </c>
      <c r="F2" s="63" t="s">
        <v>786</v>
      </c>
      <c r="G2" s="63" t="s">
        <v>787</v>
      </c>
      <c r="H2" s="63" t="s">
        <v>788</v>
      </c>
      <c r="I2" s="63" t="s">
        <v>789</v>
      </c>
      <c r="J2" s="63" t="s">
        <v>790</v>
      </c>
      <c r="K2" s="63" t="s">
        <v>791</v>
      </c>
      <c r="L2" s="63" t="s">
        <v>792</v>
      </c>
      <c r="M2" s="63" t="s">
        <v>793</v>
      </c>
    </row>
    <row r="3" spans="1:13" ht="15" customHeight="1" x14ac:dyDescent="0.25">
      <c r="A3" s="92" t="s">
        <v>684</v>
      </c>
      <c r="B3" s="148" t="str">
        <f t="shared" ref="B3:B37" si="0">VLOOKUP(A3,Staff_Table,2,FALSE())</f>
        <v>Petros K.</v>
      </c>
      <c r="C3" s="97" t="str">
        <f t="shared" ref="C3:C37" si="1">VLOOKUP(A3,Staff_Table,4,FALSE())</f>
        <v>Management</v>
      </c>
      <c r="D3" s="97" t="str">
        <f t="shared" ref="D3:D37" si="2">VLOOKUP(A3,Staff_Table,5,FALSE())</f>
        <v>Salary</v>
      </c>
      <c r="E3" s="104">
        <f t="shared" ref="E3:E37" si="3">IF(D3="Salary",VLOOKUP(A3,Staff_Table,6,FALSE()),VLOOKUP(A3,Staff_Table,7,FALSE())*F3)</f>
        <v>3500</v>
      </c>
      <c r="F3" s="149">
        <f t="shared" ref="F3:F37" si="4">VLOOKUP(A3,Staff_Table,8,FALSE())</f>
        <v>176</v>
      </c>
      <c r="G3" s="78">
        <v>0</v>
      </c>
      <c r="H3" s="104">
        <f t="shared" ref="H3:H37" si="5">IF(D3="Hourly",VLOOKUP(A3,Staff_Table,7,FALSE()),IFERROR(VLOOKUP(A3,Staff_Table,6,FALSE())/F3,0))*Rate_Overtime_Mult</f>
        <v>29.829545454545453</v>
      </c>
      <c r="I3" s="100">
        <v>0</v>
      </c>
      <c r="J3" s="100">
        <v>0</v>
      </c>
      <c r="K3" s="104">
        <f t="shared" ref="K3:K37" si="6">E3+G3*H3+I3-J3</f>
        <v>3500</v>
      </c>
      <c r="L3" s="104">
        <f t="shared" ref="L3:L37" si="7">K3*VLOOKUP(A3,Staff_Table,9,FALSE())</f>
        <v>630</v>
      </c>
      <c r="M3" s="150">
        <f t="shared" ref="M3:M37" si="8">K3+L3</f>
        <v>4130</v>
      </c>
    </row>
    <row r="4" spans="1:13" ht="15" customHeight="1" x14ac:dyDescent="0.25">
      <c r="A4" s="92" t="s">
        <v>689</v>
      </c>
      <c r="B4" s="148" t="str">
        <f t="shared" si="0"/>
        <v>Maria A.</v>
      </c>
      <c r="C4" s="97" t="str">
        <f t="shared" si="1"/>
        <v>Office</v>
      </c>
      <c r="D4" s="97" t="str">
        <f t="shared" si="2"/>
        <v>Salary</v>
      </c>
      <c r="E4" s="104">
        <f t="shared" si="3"/>
        <v>2200</v>
      </c>
      <c r="F4" s="149">
        <f t="shared" si="4"/>
        <v>176</v>
      </c>
      <c r="G4" s="78">
        <v>0</v>
      </c>
      <c r="H4" s="104">
        <f t="shared" si="5"/>
        <v>18.75</v>
      </c>
      <c r="I4" s="100">
        <v>0</v>
      </c>
      <c r="J4" s="100">
        <v>0</v>
      </c>
      <c r="K4" s="104">
        <f t="shared" si="6"/>
        <v>2200</v>
      </c>
      <c r="L4" s="104">
        <f t="shared" si="7"/>
        <v>396</v>
      </c>
      <c r="M4" s="150">
        <f t="shared" si="8"/>
        <v>2596</v>
      </c>
    </row>
    <row r="5" spans="1:13" ht="15" customHeight="1" x14ac:dyDescent="0.25">
      <c r="A5" s="92" t="s">
        <v>691</v>
      </c>
      <c r="B5" s="148" t="str">
        <f t="shared" si="0"/>
        <v>Elena P.</v>
      </c>
      <c r="C5" s="97" t="str">
        <f t="shared" si="1"/>
        <v>Office</v>
      </c>
      <c r="D5" s="97" t="str">
        <f t="shared" si="2"/>
        <v>Salary</v>
      </c>
      <c r="E5" s="104">
        <f t="shared" si="3"/>
        <v>1900</v>
      </c>
      <c r="F5" s="149">
        <f t="shared" si="4"/>
        <v>176</v>
      </c>
      <c r="G5" s="78">
        <v>0</v>
      </c>
      <c r="H5" s="104">
        <f t="shared" si="5"/>
        <v>16.193181818181817</v>
      </c>
      <c r="I5" s="100">
        <v>0</v>
      </c>
      <c r="J5" s="100">
        <v>0</v>
      </c>
      <c r="K5" s="104">
        <f t="shared" si="6"/>
        <v>1900</v>
      </c>
      <c r="L5" s="104">
        <f t="shared" si="7"/>
        <v>342</v>
      </c>
      <c r="M5" s="150">
        <f t="shared" si="8"/>
        <v>2242</v>
      </c>
    </row>
    <row r="6" spans="1:13" ht="15" customHeight="1" x14ac:dyDescent="0.25">
      <c r="A6" s="92" t="s">
        <v>694</v>
      </c>
      <c r="B6" s="148" t="str">
        <f t="shared" si="0"/>
        <v>George D.</v>
      </c>
      <c r="C6" s="97" t="str">
        <f t="shared" si="1"/>
        <v>Office</v>
      </c>
      <c r="D6" s="97" t="str">
        <f t="shared" si="2"/>
        <v>Salary</v>
      </c>
      <c r="E6" s="104">
        <f t="shared" si="3"/>
        <v>2400</v>
      </c>
      <c r="F6" s="149">
        <f t="shared" si="4"/>
        <v>176</v>
      </c>
      <c r="G6" s="78">
        <v>0</v>
      </c>
      <c r="H6" s="104">
        <f t="shared" si="5"/>
        <v>20.454545454545453</v>
      </c>
      <c r="I6" s="100">
        <v>0</v>
      </c>
      <c r="J6" s="100">
        <v>0</v>
      </c>
      <c r="K6" s="104">
        <f t="shared" si="6"/>
        <v>2400</v>
      </c>
      <c r="L6" s="104">
        <f t="shared" si="7"/>
        <v>432</v>
      </c>
      <c r="M6" s="150">
        <f t="shared" si="8"/>
        <v>2832</v>
      </c>
    </row>
    <row r="7" spans="1:13" ht="15" customHeight="1" x14ac:dyDescent="0.25">
      <c r="A7" s="92" t="s">
        <v>696</v>
      </c>
      <c r="B7" s="148" t="str">
        <f t="shared" si="0"/>
        <v>Christina S.</v>
      </c>
      <c r="C7" s="97" t="str">
        <f t="shared" si="1"/>
        <v>Design</v>
      </c>
      <c r="D7" s="97" t="str">
        <f t="shared" si="2"/>
        <v>Salary</v>
      </c>
      <c r="E7" s="104">
        <f t="shared" si="3"/>
        <v>2100</v>
      </c>
      <c r="F7" s="149">
        <f t="shared" si="4"/>
        <v>176</v>
      </c>
      <c r="G7" s="78">
        <v>0</v>
      </c>
      <c r="H7" s="104">
        <f t="shared" si="5"/>
        <v>17.897727272727273</v>
      </c>
      <c r="I7" s="100">
        <v>0</v>
      </c>
      <c r="J7" s="100">
        <v>0</v>
      </c>
      <c r="K7" s="104">
        <f t="shared" si="6"/>
        <v>2100</v>
      </c>
      <c r="L7" s="104">
        <f t="shared" si="7"/>
        <v>378</v>
      </c>
      <c r="M7" s="150">
        <f t="shared" si="8"/>
        <v>2478</v>
      </c>
    </row>
    <row r="8" spans="1:13" ht="15" customHeight="1" x14ac:dyDescent="0.25">
      <c r="A8" s="92" t="s">
        <v>699</v>
      </c>
      <c r="B8" s="148" t="str">
        <f t="shared" si="0"/>
        <v>Andreas M.</v>
      </c>
      <c r="C8" s="97" t="str">
        <f t="shared" si="1"/>
        <v>Design</v>
      </c>
      <c r="D8" s="97" t="str">
        <f t="shared" si="2"/>
        <v>Salary</v>
      </c>
      <c r="E8" s="104">
        <f t="shared" si="3"/>
        <v>1700</v>
      </c>
      <c r="F8" s="149">
        <f t="shared" si="4"/>
        <v>176</v>
      </c>
      <c r="G8" s="78">
        <v>0</v>
      </c>
      <c r="H8" s="104">
        <f t="shared" si="5"/>
        <v>14.488636363636363</v>
      </c>
      <c r="I8" s="100">
        <v>0</v>
      </c>
      <c r="J8" s="100">
        <v>0</v>
      </c>
      <c r="K8" s="104">
        <f t="shared" si="6"/>
        <v>1700</v>
      </c>
      <c r="L8" s="104">
        <f t="shared" si="7"/>
        <v>306</v>
      </c>
      <c r="M8" s="150">
        <f t="shared" si="8"/>
        <v>2006</v>
      </c>
    </row>
    <row r="9" spans="1:13" ht="15" customHeight="1" x14ac:dyDescent="0.25">
      <c r="A9" s="92" t="s">
        <v>702</v>
      </c>
      <c r="B9" s="148" t="str">
        <f t="shared" si="0"/>
        <v>Sofia K.</v>
      </c>
      <c r="C9" s="97" t="str">
        <f t="shared" si="1"/>
        <v>Design</v>
      </c>
      <c r="D9" s="97" t="str">
        <f t="shared" si="2"/>
        <v>Salary</v>
      </c>
      <c r="E9" s="104">
        <f t="shared" si="3"/>
        <v>1600</v>
      </c>
      <c r="F9" s="149">
        <f t="shared" si="4"/>
        <v>176</v>
      </c>
      <c r="G9" s="78">
        <v>0</v>
      </c>
      <c r="H9" s="104">
        <f t="shared" si="5"/>
        <v>13.636363636363637</v>
      </c>
      <c r="I9" s="100">
        <v>0</v>
      </c>
      <c r="J9" s="100">
        <v>0</v>
      </c>
      <c r="K9" s="104">
        <f t="shared" si="6"/>
        <v>1600</v>
      </c>
      <c r="L9" s="104">
        <f t="shared" si="7"/>
        <v>288</v>
      </c>
      <c r="M9" s="150">
        <f t="shared" si="8"/>
        <v>1888</v>
      </c>
    </row>
    <row r="10" spans="1:13" ht="15" customHeight="1" x14ac:dyDescent="0.25">
      <c r="A10" s="92" t="s">
        <v>704</v>
      </c>
      <c r="B10" s="148" t="str">
        <f t="shared" si="0"/>
        <v>Dimitris V.</v>
      </c>
      <c r="C10" s="97" t="str">
        <f t="shared" si="1"/>
        <v>CNC</v>
      </c>
      <c r="D10" s="97" t="str">
        <f t="shared" si="2"/>
        <v>Hourly</v>
      </c>
      <c r="E10" s="104">
        <f t="shared" si="3"/>
        <v>2024</v>
      </c>
      <c r="F10" s="149">
        <f t="shared" si="4"/>
        <v>176</v>
      </c>
      <c r="G10" s="78">
        <v>0</v>
      </c>
      <c r="H10" s="104">
        <f t="shared" si="5"/>
        <v>17.25</v>
      </c>
      <c r="I10" s="100">
        <v>0</v>
      </c>
      <c r="J10" s="100">
        <v>0</v>
      </c>
      <c r="K10" s="104">
        <f t="shared" si="6"/>
        <v>2024</v>
      </c>
      <c r="L10" s="104">
        <f t="shared" si="7"/>
        <v>364.32</v>
      </c>
      <c r="M10" s="150">
        <f t="shared" si="8"/>
        <v>2388.3200000000002</v>
      </c>
    </row>
    <row r="11" spans="1:13" ht="15" customHeight="1" x14ac:dyDescent="0.25">
      <c r="A11" s="92" t="s">
        <v>707</v>
      </c>
      <c r="B11" s="148" t="str">
        <f t="shared" si="0"/>
        <v>Yiannis N.</v>
      </c>
      <c r="C11" s="97" t="str">
        <f t="shared" si="1"/>
        <v>CNC</v>
      </c>
      <c r="D11" s="97" t="str">
        <f t="shared" si="2"/>
        <v>Hourly</v>
      </c>
      <c r="E11" s="104">
        <f t="shared" si="3"/>
        <v>1584</v>
      </c>
      <c r="F11" s="149">
        <f t="shared" si="4"/>
        <v>176</v>
      </c>
      <c r="G11" s="78">
        <v>0</v>
      </c>
      <c r="H11" s="104">
        <f t="shared" si="5"/>
        <v>13.5</v>
      </c>
      <c r="I11" s="100">
        <v>0</v>
      </c>
      <c r="J11" s="100">
        <v>0</v>
      </c>
      <c r="K11" s="104">
        <f t="shared" si="6"/>
        <v>1584</v>
      </c>
      <c r="L11" s="104">
        <f t="shared" si="7"/>
        <v>285.12</v>
      </c>
      <c r="M11" s="150">
        <f t="shared" si="8"/>
        <v>1869.12</v>
      </c>
    </row>
    <row r="12" spans="1:13" ht="15" customHeight="1" x14ac:dyDescent="0.25">
      <c r="A12" s="92" t="s">
        <v>710</v>
      </c>
      <c r="B12" s="148" t="str">
        <f t="shared" si="0"/>
        <v>Kostas L.</v>
      </c>
      <c r="C12" s="97" t="str">
        <f t="shared" si="1"/>
        <v>Cutting</v>
      </c>
      <c r="D12" s="97" t="str">
        <f t="shared" si="2"/>
        <v>Hourly</v>
      </c>
      <c r="E12" s="104">
        <f t="shared" si="3"/>
        <v>1496</v>
      </c>
      <c r="F12" s="149">
        <f t="shared" si="4"/>
        <v>176</v>
      </c>
      <c r="G12" s="78">
        <v>0</v>
      </c>
      <c r="H12" s="104">
        <f t="shared" si="5"/>
        <v>12.75</v>
      </c>
      <c r="I12" s="100">
        <v>0</v>
      </c>
      <c r="J12" s="100">
        <v>0</v>
      </c>
      <c r="K12" s="104">
        <f t="shared" si="6"/>
        <v>1496</v>
      </c>
      <c r="L12" s="104">
        <f t="shared" si="7"/>
        <v>269.27999999999997</v>
      </c>
      <c r="M12" s="150">
        <f t="shared" si="8"/>
        <v>1765.28</v>
      </c>
    </row>
    <row r="13" spans="1:13" ht="15" customHeight="1" x14ac:dyDescent="0.25">
      <c r="A13" s="92" t="s">
        <v>713</v>
      </c>
      <c r="B13" s="148" t="str">
        <f t="shared" si="0"/>
        <v>Panicos T.</v>
      </c>
      <c r="C13" s="97" t="str">
        <f t="shared" si="1"/>
        <v>Cutting</v>
      </c>
      <c r="D13" s="97" t="str">
        <f t="shared" si="2"/>
        <v>Hourly</v>
      </c>
      <c r="E13" s="104">
        <f t="shared" si="3"/>
        <v>1443.1999999999998</v>
      </c>
      <c r="F13" s="149">
        <f t="shared" si="4"/>
        <v>176</v>
      </c>
      <c r="G13" s="78">
        <v>0</v>
      </c>
      <c r="H13" s="104">
        <f t="shared" si="5"/>
        <v>12.299999999999999</v>
      </c>
      <c r="I13" s="100">
        <v>0</v>
      </c>
      <c r="J13" s="100">
        <v>0</v>
      </c>
      <c r="K13" s="104">
        <f t="shared" si="6"/>
        <v>1443.1999999999998</v>
      </c>
      <c r="L13" s="104">
        <f t="shared" si="7"/>
        <v>259.77599999999995</v>
      </c>
      <c r="M13" s="150">
        <f t="shared" si="8"/>
        <v>1702.9759999999997</v>
      </c>
    </row>
    <row r="14" spans="1:13" ht="15" customHeight="1" x14ac:dyDescent="0.25">
      <c r="A14" s="92" t="s">
        <v>715</v>
      </c>
      <c r="B14" s="148" t="str">
        <f t="shared" si="0"/>
        <v>Marios C.</v>
      </c>
      <c r="C14" s="97" t="str">
        <f t="shared" si="1"/>
        <v>Cutting</v>
      </c>
      <c r="D14" s="97" t="str">
        <f t="shared" si="2"/>
        <v>Hourly</v>
      </c>
      <c r="E14" s="104">
        <f t="shared" si="3"/>
        <v>1232</v>
      </c>
      <c r="F14" s="149">
        <f t="shared" si="4"/>
        <v>176</v>
      </c>
      <c r="G14" s="78">
        <v>0</v>
      </c>
      <c r="H14" s="104">
        <f t="shared" si="5"/>
        <v>10.5</v>
      </c>
      <c r="I14" s="100">
        <v>0</v>
      </c>
      <c r="J14" s="100">
        <v>0</v>
      </c>
      <c r="K14" s="104">
        <f t="shared" si="6"/>
        <v>1232</v>
      </c>
      <c r="L14" s="104">
        <f t="shared" si="7"/>
        <v>221.76</v>
      </c>
      <c r="M14" s="150">
        <f t="shared" si="8"/>
        <v>1453.76</v>
      </c>
    </row>
    <row r="15" spans="1:13" ht="15" customHeight="1" x14ac:dyDescent="0.25">
      <c r="A15" s="92" t="s">
        <v>718</v>
      </c>
      <c r="B15" s="148" t="str">
        <f t="shared" si="0"/>
        <v>Stelios H.</v>
      </c>
      <c r="C15" s="97" t="str">
        <f t="shared" si="1"/>
        <v>Edge banding</v>
      </c>
      <c r="D15" s="97" t="str">
        <f t="shared" si="2"/>
        <v>Hourly</v>
      </c>
      <c r="E15" s="104">
        <f t="shared" si="3"/>
        <v>1496</v>
      </c>
      <c r="F15" s="149">
        <f t="shared" si="4"/>
        <v>176</v>
      </c>
      <c r="G15" s="78">
        <v>0</v>
      </c>
      <c r="H15" s="104">
        <f t="shared" si="5"/>
        <v>12.75</v>
      </c>
      <c r="I15" s="100">
        <v>0</v>
      </c>
      <c r="J15" s="100">
        <v>0</v>
      </c>
      <c r="K15" s="104">
        <f t="shared" si="6"/>
        <v>1496</v>
      </c>
      <c r="L15" s="104">
        <f t="shared" si="7"/>
        <v>269.27999999999997</v>
      </c>
      <c r="M15" s="150">
        <f t="shared" si="8"/>
        <v>1765.28</v>
      </c>
    </row>
    <row r="16" spans="1:13" ht="15" customHeight="1" x14ac:dyDescent="0.25">
      <c r="A16" s="92" t="s">
        <v>721</v>
      </c>
      <c r="B16" s="148" t="str">
        <f t="shared" si="0"/>
        <v>Nikos O.</v>
      </c>
      <c r="C16" s="97" t="str">
        <f t="shared" si="1"/>
        <v>Edge banding</v>
      </c>
      <c r="D16" s="97" t="str">
        <f t="shared" si="2"/>
        <v>Hourly</v>
      </c>
      <c r="E16" s="104">
        <f t="shared" si="3"/>
        <v>1443.1999999999998</v>
      </c>
      <c r="F16" s="149">
        <f t="shared" si="4"/>
        <v>176</v>
      </c>
      <c r="G16" s="78">
        <v>0</v>
      </c>
      <c r="H16" s="104">
        <f t="shared" si="5"/>
        <v>12.299999999999999</v>
      </c>
      <c r="I16" s="100">
        <v>0</v>
      </c>
      <c r="J16" s="100">
        <v>0</v>
      </c>
      <c r="K16" s="104">
        <f t="shared" si="6"/>
        <v>1443.1999999999998</v>
      </c>
      <c r="L16" s="104">
        <f t="shared" si="7"/>
        <v>259.77599999999995</v>
      </c>
      <c r="M16" s="150">
        <f t="shared" si="8"/>
        <v>1702.9759999999997</v>
      </c>
    </row>
    <row r="17" spans="1:13" ht="15" customHeight="1" x14ac:dyDescent="0.25">
      <c r="A17" s="92" t="s">
        <v>723</v>
      </c>
      <c r="B17" s="148" t="str">
        <f t="shared" si="0"/>
        <v>Pavlos G.</v>
      </c>
      <c r="C17" s="97" t="str">
        <f t="shared" si="1"/>
        <v>Assembly</v>
      </c>
      <c r="D17" s="97" t="str">
        <f t="shared" si="2"/>
        <v>Hourly</v>
      </c>
      <c r="E17" s="104">
        <f t="shared" si="3"/>
        <v>1760</v>
      </c>
      <c r="F17" s="149">
        <f t="shared" si="4"/>
        <v>176</v>
      </c>
      <c r="G17" s="78">
        <v>0</v>
      </c>
      <c r="H17" s="104">
        <f t="shared" si="5"/>
        <v>15</v>
      </c>
      <c r="I17" s="100">
        <v>0</v>
      </c>
      <c r="J17" s="100">
        <v>0</v>
      </c>
      <c r="K17" s="104">
        <f t="shared" si="6"/>
        <v>1760</v>
      </c>
      <c r="L17" s="104">
        <f t="shared" si="7"/>
        <v>316.8</v>
      </c>
      <c r="M17" s="150">
        <f t="shared" si="8"/>
        <v>2076.8000000000002</v>
      </c>
    </row>
    <row r="18" spans="1:13" ht="15" customHeight="1" x14ac:dyDescent="0.25">
      <c r="A18" s="92" t="s">
        <v>726</v>
      </c>
      <c r="B18" s="148" t="str">
        <f t="shared" si="0"/>
        <v>Lambros A.</v>
      </c>
      <c r="C18" s="97" t="str">
        <f t="shared" si="1"/>
        <v>Assembly</v>
      </c>
      <c r="D18" s="97" t="str">
        <f t="shared" si="2"/>
        <v>Hourly</v>
      </c>
      <c r="E18" s="104">
        <f t="shared" si="3"/>
        <v>1496</v>
      </c>
      <c r="F18" s="149">
        <f t="shared" si="4"/>
        <v>176</v>
      </c>
      <c r="G18" s="78">
        <v>0</v>
      </c>
      <c r="H18" s="104">
        <f t="shared" si="5"/>
        <v>12.75</v>
      </c>
      <c r="I18" s="100">
        <v>0</v>
      </c>
      <c r="J18" s="100">
        <v>0</v>
      </c>
      <c r="K18" s="104">
        <f t="shared" si="6"/>
        <v>1496</v>
      </c>
      <c r="L18" s="104">
        <f t="shared" si="7"/>
        <v>269.27999999999997</v>
      </c>
      <c r="M18" s="150">
        <f t="shared" si="8"/>
        <v>1765.28</v>
      </c>
    </row>
    <row r="19" spans="1:13" ht="15" customHeight="1" x14ac:dyDescent="0.25">
      <c r="A19" s="92" t="s">
        <v>729</v>
      </c>
      <c r="B19" s="148" t="str">
        <f t="shared" si="0"/>
        <v>Theodoros F.</v>
      </c>
      <c r="C19" s="97" t="str">
        <f t="shared" si="1"/>
        <v>Assembly</v>
      </c>
      <c r="D19" s="97" t="str">
        <f t="shared" si="2"/>
        <v>Hourly</v>
      </c>
      <c r="E19" s="104">
        <f t="shared" si="3"/>
        <v>1496</v>
      </c>
      <c r="F19" s="149">
        <f t="shared" si="4"/>
        <v>176</v>
      </c>
      <c r="G19" s="78">
        <v>0</v>
      </c>
      <c r="H19" s="104">
        <f t="shared" si="5"/>
        <v>12.75</v>
      </c>
      <c r="I19" s="100">
        <v>0</v>
      </c>
      <c r="J19" s="100">
        <v>0</v>
      </c>
      <c r="K19" s="104">
        <f t="shared" si="6"/>
        <v>1496</v>
      </c>
      <c r="L19" s="104">
        <f t="shared" si="7"/>
        <v>269.27999999999997</v>
      </c>
      <c r="M19" s="150">
        <f t="shared" si="8"/>
        <v>1765.28</v>
      </c>
    </row>
    <row r="20" spans="1:13" ht="15" customHeight="1" x14ac:dyDescent="0.25">
      <c r="A20" s="92" t="s">
        <v>731</v>
      </c>
      <c r="B20" s="148" t="str">
        <f t="shared" si="0"/>
        <v>Vasilis I.</v>
      </c>
      <c r="C20" s="97" t="str">
        <f t="shared" si="1"/>
        <v>Assembly</v>
      </c>
      <c r="D20" s="97" t="str">
        <f t="shared" si="2"/>
        <v>Hourly</v>
      </c>
      <c r="E20" s="104">
        <f t="shared" si="3"/>
        <v>1408</v>
      </c>
      <c r="F20" s="149">
        <f t="shared" si="4"/>
        <v>176</v>
      </c>
      <c r="G20" s="78">
        <v>0</v>
      </c>
      <c r="H20" s="104">
        <f t="shared" si="5"/>
        <v>12</v>
      </c>
      <c r="I20" s="100">
        <v>0</v>
      </c>
      <c r="J20" s="100">
        <v>0</v>
      </c>
      <c r="K20" s="104">
        <f t="shared" si="6"/>
        <v>1408</v>
      </c>
      <c r="L20" s="104">
        <f t="shared" si="7"/>
        <v>253.44</v>
      </c>
      <c r="M20" s="150">
        <f t="shared" si="8"/>
        <v>1661.44</v>
      </c>
    </row>
    <row r="21" spans="1:13" ht="15" customHeight="1" x14ac:dyDescent="0.25">
      <c r="A21" s="92" t="s">
        <v>733</v>
      </c>
      <c r="B21" s="148" t="str">
        <f t="shared" si="0"/>
        <v>Tassos R.</v>
      </c>
      <c r="C21" s="97" t="str">
        <f t="shared" si="1"/>
        <v>Assembly</v>
      </c>
      <c r="D21" s="97" t="str">
        <f t="shared" si="2"/>
        <v>Hourly</v>
      </c>
      <c r="E21" s="104">
        <f t="shared" si="3"/>
        <v>1408</v>
      </c>
      <c r="F21" s="149">
        <f t="shared" si="4"/>
        <v>176</v>
      </c>
      <c r="G21" s="78">
        <v>0</v>
      </c>
      <c r="H21" s="104">
        <f t="shared" si="5"/>
        <v>12</v>
      </c>
      <c r="I21" s="100">
        <v>0</v>
      </c>
      <c r="J21" s="100">
        <v>0</v>
      </c>
      <c r="K21" s="104">
        <f t="shared" si="6"/>
        <v>1408</v>
      </c>
      <c r="L21" s="104">
        <f t="shared" si="7"/>
        <v>253.44</v>
      </c>
      <c r="M21" s="150">
        <f t="shared" si="8"/>
        <v>1661.44</v>
      </c>
    </row>
    <row r="22" spans="1:13" ht="15" customHeight="1" x14ac:dyDescent="0.25">
      <c r="A22" s="92" t="s">
        <v>735</v>
      </c>
      <c r="B22" s="148" t="str">
        <f t="shared" si="0"/>
        <v>Michalis U.</v>
      </c>
      <c r="C22" s="97" t="str">
        <f t="shared" si="1"/>
        <v>Sanding</v>
      </c>
      <c r="D22" s="97" t="str">
        <f t="shared" si="2"/>
        <v>Hourly</v>
      </c>
      <c r="E22" s="104">
        <f t="shared" si="3"/>
        <v>1584</v>
      </c>
      <c r="F22" s="149">
        <f t="shared" si="4"/>
        <v>176</v>
      </c>
      <c r="G22" s="78">
        <v>0</v>
      </c>
      <c r="H22" s="104">
        <f t="shared" si="5"/>
        <v>13.5</v>
      </c>
      <c r="I22" s="100">
        <v>0</v>
      </c>
      <c r="J22" s="100">
        <v>0</v>
      </c>
      <c r="K22" s="104">
        <f t="shared" si="6"/>
        <v>1584</v>
      </c>
      <c r="L22" s="104">
        <f t="shared" si="7"/>
        <v>285.12</v>
      </c>
      <c r="M22" s="150">
        <f t="shared" si="8"/>
        <v>1869.12</v>
      </c>
    </row>
    <row r="23" spans="1:13" ht="15" customHeight="1" x14ac:dyDescent="0.25">
      <c r="A23" s="92" t="s">
        <v>738</v>
      </c>
      <c r="B23" s="148" t="str">
        <f t="shared" si="0"/>
        <v>Savvas W.</v>
      </c>
      <c r="C23" s="97" t="str">
        <f t="shared" si="1"/>
        <v>Sanding</v>
      </c>
      <c r="D23" s="97" t="str">
        <f t="shared" si="2"/>
        <v>Hourly</v>
      </c>
      <c r="E23" s="104">
        <f t="shared" si="3"/>
        <v>1320</v>
      </c>
      <c r="F23" s="149">
        <f t="shared" si="4"/>
        <v>176</v>
      </c>
      <c r="G23" s="78">
        <v>0</v>
      </c>
      <c r="H23" s="104">
        <f t="shared" si="5"/>
        <v>11.25</v>
      </c>
      <c r="I23" s="100">
        <v>0</v>
      </c>
      <c r="J23" s="100">
        <v>0</v>
      </c>
      <c r="K23" s="104">
        <f t="shared" si="6"/>
        <v>1320</v>
      </c>
      <c r="L23" s="104">
        <f t="shared" si="7"/>
        <v>237.6</v>
      </c>
      <c r="M23" s="150">
        <f t="shared" si="8"/>
        <v>1557.6</v>
      </c>
    </row>
    <row r="24" spans="1:13" ht="15" customHeight="1" x14ac:dyDescent="0.25">
      <c r="A24" s="92" t="s">
        <v>741</v>
      </c>
      <c r="B24" s="148" t="str">
        <f t="shared" si="0"/>
        <v>Loukas J.</v>
      </c>
      <c r="C24" s="97" t="str">
        <f t="shared" si="1"/>
        <v>Sanding</v>
      </c>
      <c r="D24" s="97" t="str">
        <f t="shared" si="2"/>
        <v>Hourly</v>
      </c>
      <c r="E24" s="104">
        <f t="shared" si="3"/>
        <v>1320</v>
      </c>
      <c r="F24" s="149">
        <f t="shared" si="4"/>
        <v>176</v>
      </c>
      <c r="G24" s="78">
        <v>0</v>
      </c>
      <c r="H24" s="104">
        <f t="shared" si="5"/>
        <v>11.25</v>
      </c>
      <c r="I24" s="100">
        <v>0</v>
      </c>
      <c r="J24" s="100">
        <v>0</v>
      </c>
      <c r="K24" s="104">
        <f t="shared" si="6"/>
        <v>1320</v>
      </c>
      <c r="L24" s="104">
        <f t="shared" si="7"/>
        <v>237.6</v>
      </c>
      <c r="M24" s="150">
        <f t="shared" si="8"/>
        <v>1557.6</v>
      </c>
    </row>
    <row r="25" spans="1:13" ht="15" customHeight="1" x14ac:dyDescent="0.25">
      <c r="A25" s="92" t="s">
        <v>743</v>
      </c>
      <c r="B25" s="148" t="str">
        <f t="shared" si="0"/>
        <v>Christos E.</v>
      </c>
      <c r="C25" s="97" t="str">
        <f t="shared" si="1"/>
        <v>Paint</v>
      </c>
      <c r="D25" s="97" t="str">
        <f t="shared" si="2"/>
        <v>Hourly</v>
      </c>
      <c r="E25" s="104">
        <f t="shared" si="3"/>
        <v>1936</v>
      </c>
      <c r="F25" s="149">
        <f t="shared" si="4"/>
        <v>176</v>
      </c>
      <c r="G25" s="78">
        <v>0</v>
      </c>
      <c r="H25" s="104">
        <f t="shared" si="5"/>
        <v>16.5</v>
      </c>
      <c r="I25" s="100">
        <v>0</v>
      </c>
      <c r="J25" s="100">
        <v>0</v>
      </c>
      <c r="K25" s="104">
        <f t="shared" si="6"/>
        <v>1936</v>
      </c>
      <c r="L25" s="104">
        <f t="shared" si="7"/>
        <v>348.47999999999996</v>
      </c>
      <c r="M25" s="150">
        <f t="shared" si="8"/>
        <v>2284.48</v>
      </c>
    </row>
    <row r="26" spans="1:13" ht="15" customHeight="1" x14ac:dyDescent="0.25">
      <c r="A26" s="92" t="s">
        <v>746</v>
      </c>
      <c r="B26" s="148" t="str">
        <f t="shared" si="0"/>
        <v>Alexis B.</v>
      </c>
      <c r="C26" s="97" t="str">
        <f t="shared" si="1"/>
        <v>Paint</v>
      </c>
      <c r="D26" s="97" t="str">
        <f t="shared" si="2"/>
        <v>Hourly</v>
      </c>
      <c r="E26" s="104">
        <f t="shared" si="3"/>
        <v>1672</v>
      </c>
      <c r="F26" s="149">
        <f t="shared" si="4"/>
        <v>176</v>
      </c>
      <c r="G26" s="78">
        <v>0</v>
      </c>
      <c r="H26" s="104">
        <f t="shared" si="5"/>
        <v>14.25</v>
      </c>
      <c r="I26" s="100">
        <v>0</v>
      </c>
      <c r="J26" s="100">
        <v>0</v>
      </c>
      <c r="K26" s="104">
        <f t="shared" si="6"/>
        <v>1672</v>
      </c>
      <c r="L26" s="104">
        <f t="shared" si="7"/>
        <v>300.95999999999998</v>
      </c>
      <c r="M26" s="150">
        <f t="shared" si="8"/>
        <v>1972.96</v>
      </c>
    </row>
    <row r="27" spans="1:13" ht="15" customHeight="1" x14ac:dyDescent="0.25">
      <c r="A27" s="92" t="s">
        <v>749</v>
      </c>
      <c r="B27" s="148" t="str">
        <f t="shared" si="0"/>
        <v>Iakovos D.</v>
      </c>
      <c r="C27" s="97" t="str">
        <f t="shared" si="1"/>
        <v>Paint</v>
      </c>
      <c r="D27" s="97" t="str">
        <f t="shared" si="2"/>
        <v>Hourly</v>
      </c>
      <c r="E27" s="104">
        <f t="shared" si="3"/>
        <v>1584</v>
      </c>
      <c r="F27" s="149">
        <f t="shared" si="4"/>
        <v>176</v>
      </c>
      <c r="G27" s="78">
        <v>0</v>
      </c>
      <c r="H27" s="104">
        <f t="shared" si="5"/>
        <v>13.5</v>
      </c>
      <c r="I27" s="100">
        <v>0</v>
      </c>
      <c r="J27" s="100">
        <v>0</v>
      </c>
      <c r="K27" s="104">
        <f t="shared" si="6"/>
        <v>1584</v>
      </c>
      <c r="L27" s="104">
        <f t="shared" si="7"/>
        <v>285.12</v>
      </c>
      <c r="M27" s="150">
        <f t="shared" si="8"/>
        <v>1869.12</v>
      </c>
    </row>
    <row r="28" spans="1:13" ht="15" customHeight="1" x14ac:dyDescent="0.25">
      <c r="A28" s="92" t="s">
        <v>751</v>
      </c>
      <c r="B28" s="148" t="str">
        <f t="shared" si="0"/>
        <v>Rafael V.</v>
      </c>
      <c r="C28" s="97" t="str">
        <f t="shared" si="1"/>
        <v>Paint</v>
      </c>
      <c r="D28" s="97" t="str">
        <f t="shared" si="2"/>
        <v>Hourly</v>
      </c>
      <c r="E28" s="104">
        <f t="shared" si="3"/>
        <v>1584</v>
      </c>
      <c r="F28" s="149">
        <f t="shared" si="4"/>
        <v>176</v>
      </c>
      <c r="G28" s="78">
        <v>0</v>
      </c>
      <c r="H28" s="104">
        <f t="shared" si="5"/>
        <v>13.5</v>
      </c>
      <c r="I28" s="100">
        <v>0</v>
      </c>
      <c r="J28" s="100">
        <v>0</v>
      </c>
      <c r="K28" s="104">
        <f t="shared" si="6"/>
        <v>1584</v>
      </c>
      <c r="L28" s="104">
        <f t="shared" si="7"/>
        <v>285.12</v>
      </c>
      <c r="M28" s="150">
        <f t="shared" si="8"/>
        <v>1869.12</v>
      </c>
    </row>
    <row r="29" spans="1:13" ht="15" customHeight="1" x14ac:dyDescent="0.25">
      <c r="A29" s="92" t="s">
        <v>753</v>
      </c>
      <c r="B29" s="148" t="str">
        <f t="shared" si="0"/>
        <v>Evagoras N.</v>
      </c>
      <c r="C29" s="97" t="str">
        <f t="shared" si="1"/>
        <v>Packing</v>
      </c>
      <c r="D29" s="97" t="str">
        <f t="shared" si="2"/>
        <v>Hourly</v>
      </c>
      <c r="E29" s="104">
        <f t="shared" si="3"/>
        <v>1232</v>
      </c>
      <c r="F29" s="149">
        <f t="shared" si="4"/>
        <v>176</v>
      </c>
      <c r="G29" s="78">
        <v>0</v>
      </c>
      <c r="H29" s="104">
        <f t="shared" si="5"/>
        <v>10.5</v>
      </c>
      <c r="I29" s="100">
        <v>0</v>
      </c>
      <c r="J29" s="100">
        <v>0</v>
      </c>
      <c r="K29" s="104">
        <f t="shared" si="6"/>
        <v>1232</v>
      </c>
      <c r="L29" s="104">
        <f t="shared" si="7"/>
        <v>221.76</v>
      </c>
      <c r="M29" s="150">
        <f t="shared" si="8"/>
        <v>1453.76</v>
      </c>
    </row>
    <row r="30" spans="1:13" ht="15" customHeight="1" x14ac:dyDescent="0.25">
      <c r="A30" s="92" t="s">
        <v>756</v>
      </c>
      <c r="B30" s="148" t="str">
        <f t="shared" si="0"/>
        <v>Orestis Q.</v>
      </c>
      <c r="C30" s="97" t="str">
        <f t="shared" si="1"/>
        <v>Packing</v>
      </c>
      <c r="D30" s="97" t="str">
        <f t="shared" si="2"/>
        <v>Hourly</v>
      </c>
      <c r="E30" s="104">
        <f t="shared" si="3"/>
        <v>1320</v>
      </c>
      <c r="F30" s="149">
        <f t="shared" si="4"/>
        <v>176</v>
      </c>
      <c r="G30" s="78">
        <v>0</v>
      </c>
      <c r="H30" s="104">
        <f t="shared" si="5"/>
        <v>11.25</v>
      </c>
      <c r="I30" s="100">
        <v>0</v>
      </c>
      <c r="J30" s="100">
        <v>0</v>
      </c>
      <c r="K30" s="104">
        <f t="shared" si="6"/>
        <v>1320</v>
      </c>
      <c r="L30" s="104">
        <f t="shared" si="7"/>
        <v>237.6</v>
      </c>
      <c r="M30" s="150">
        <f t="shared" si="8"/>
        <v>1557.6</v>
      </c>
    </row>
    <row r="31" spans="1:13" ht="15" customHeight="1" x14ac:dyDescent="0.25">
      <c r="A31" s="92" t="s">
        <v>759</v>
      </c>
      <c r="B31" s="148" t="str">
        <f t="shared" si="0"/>
        <v>Prodromos Z.</v>
      </c>
      <c r="C31" s="97" t="str">
        <f t="shared" si="1"/>
        <v>Delivery</v>
      </c>
      <c r="D31" s="97" t="str">
        <f t="shared" si="2"/>
        <v>Hourly</v>
      </c>
      <c r="E31" s="104">
        <f t="shared" si="3"/>
        <v>1496</v>
      </c>
      <c r="F31" s="149">
        <f t="shared" si="4"/>
        <v>176</v>
      </c>
      <c r="G31" s="78">
        <v>0</v>
      </c>
      <c r="H31" s="104">
        <f t="shared" si="5"/>
        <v>12.75</v>
      </c>
      <c r="I31" s="100">
        <v>0</v>
      </c>
      <c r="J31" s="100">
        <v>0</v>
      </c>
      <c r="K31" s="104">
        <f t="shared" si="6"/>
        <v>1496</v>
      </c>
      <c r="L31" s="104">
        <f t="shared" si="7"/>
        <v>269.27999999999997</v>
      </c>
      <c r="M31" s="150">
        <f t="shared" si="8"/>
        <v>1765.28</v>
      </c>
    </row>
    <row r="32" spans="1:13" ht="15" customHeight="1" x14ac:dyDescent="0.25">
      <c r="A32" s="92" t="s">
        <v>762</v>
      </c>
      <c r="B32" s="148" t="str">
        <f t="shared" si="0"/>
        <v>Achilleas Y.</v>
      </c>
      <c r="C32" s="97" t="str">
        <f t="shared" si="1"/>
        <v>Delivery</v>
      </c>
      <c r="D32" s="97" t="str">
        <f t="shared" si="2"/>
        <v>Hourly</v>
      </c>
      <c r="E32" s="104">
        <f t="shared" si="3"/>
        <v>1584</v>
      </c>
      <c r="F32" s="149">
        <f t="shared" si="4"/>
        <v>176</v>
      </c>
      <c r="G32" s="78">
        <v>0</v>
      </c>
      <c r="H32" s="104">
        <f t="shared" si="5"/>
        <v>13.5</v>
      </c>
      <c r="I32" s="100">
        <v>0</v>
      </c>
      <c r="J32" s="100">
        <v>0</v>
      </c>
      <c r="K32" s="104">
        <f t="shared" si="6"/>
        <v>1584</v>
      </c>
      <c r="L32" s="104">
        <f t="shared" si="7"/>
        <v>285.12</v>
      </c>
      <c r="M32" s="150">
        <f t="shared" si="8"/>
        <v>1869.12</v>
      </c>
    </row>
    <row r="33" spans="1:13" ht="15" customHeight="1" x14ac:dyDescent="0.25">
      <c r="A33" s="92" t="s">
        <v>765</v>
      </c>
      <c r="B33" s="148" t="str">
        <f t="shared" si="0"/>
        <v>Konstantinos X.</v>
      </c>
      <c r="C33" s="97" t="str">
        <f t="shared" si="1"/>
        <v>Installation</v>
      </c>
      <c r="D33" s="97" t="str">
        <f t="shared" si="2"/>
        <v>Hourly</v>
      </c>
      <c r="E33" s="104">
        <f t="shared" si="3"/>
        <v>1760</v>
      </c>
      <c r="F33" s="149">
        <f t="shared" si="4"/>
        <v>176</v>
      </c>
      <c r="G33" s="78">
        <v>0</v>
      </c>
      <c r="H33" s="104">
        <f t="shared" si="5"/>
        <v>15</v>
      </c>
      <c r="I33" s="100">
        <v>0</v>
      </c>
      <c r="J33" s="100">
        <v>0</v>
      </c>
      <c r="K33" s="104">
        <f t="shared" si="6"/>
        <v>1760</v>
      </c>
      <c r="L33" s="104">
        <f t="shared" si="7"/>
        <v>316.8</v>
      </c>
      <c r="M33" s="150">
        <f t="shared" si="8"/>
        <v>2076.8000000000002</v>
      </c>
    </row>
    <row r="34" spans="1:13" ht="15" customHeight="1" x14ac:dyDescent="0.25">
      <c r="A34" s="92" t="s">
        <v>768</v>
      </c>
      <c r="B34" s="148" t="str">
        <f t="shared" si="0"/>
        <v>Neoklis P.</v>
      </c>
      <c r="C34" s="97" t="str">
        <f t="shared" si="1"/>
        <v>Installation</v>
      </c>
      <c r="D34" s="97" t="str">
        <f t="shared" si="2"/>
        <v>Hourly</v>
      </c>
      <c r="E34" s="104">
        <f t="shared" si="3"/>
        <v>1672</v>
      </c>
      <c r="F34" s="149">
        <f t="shared" si="4"/>
        <v>176</v>
      </c>
      <c r="G34" s="78">
        <v>0</v>
      </c>
      <c r="H34" s="104">
        <f t="shared" si="5"/>
        <v>14.25</v>
      </c>
      <c r="I34" s="100">
        <v>0</v>
      </c>
      <c r="J34" s="100">
        <v>0</v>
      </c>
      <c r="K34" s="104">
        <f t="shared" si="6"/>
        <v>1672</v>
      </c>
      <c r="L34" s="104">
        <f t="shared" si="7"/>
        <v>300.95999999999998</v>
      </c>
      <c r="M34" s="150">
        <f t="shared" si="8"/>
        <v>1972.96</v>
      </c>
    </row>
    <row r="35" spans="1:13" ht="15" customHeight="1" x14ac:dyDescent="0.25">
      <c r="A35" s="92" t="s">
        <v>770</v>
      </c>
      <c r="B35" s="148" t="str">
        <f t="shared" si="0"/>
        <v>Spyros M.</v>
      </c>
      <c r="C35" s="97" t="str">
        <f t="shared" si="1"/>
        <v>Installation</v>
      </c>
      <c r="D35" s="97" t="str">
        <f t="shared" si="2"/>
        <v>Hourly</v>
      </c>
      <c r="E35" s="104">
        <f t="shared" si="3"/>
        <v>1672</v>
      </c>
      <c r="F35" s="149">
        <f t="shared" si="4"/>
        <v>176</v>
      </c>
      <c r="G35" s="78">
        <v>0</v>
      </c>
      <c r="H35" s="104">
        <f t="shared" si="5"/>
        <v>14.25</v>
      </c>
      <c r="I35" s="100">
        <v>0</v>
      </c>
      <c r="J35" s="100">
        <v>0</v>
      </c>
      <c r="K35" s="104">
        <f t="shared" si="6"/>
        <v>1672</v>
      </c>
      <c r="L35" s="104">
        <f t="shared" si="7"/>
        <v>300.95999999999998</v>
      </c>
      <c r="M35" s="150">
        <f t="shared" si="8"/>
        <v>1972.96</v>
      </c>
    </row>
    <row r="36" spans="1:13" ht="15" customHeight="1" x14ac:dyDescent="0.25">
      <c r="A36" s="92" t="s">
        <v>772</v>
      </c>
      <c r="B36" s="148" t="str">
        <f t="shared" si="0"/>
        <v>Filippos J.</v>
      </c>
      <c r="C36" s="97" t="str">
        <f t="shared" si="1"/>
        <v>Management</v>
      </c>
      <c r="D36" s="97" t="str">
        <f t="shared" si="2"/>
        <v>Salary</v>
      </c>
      <c r="E36" s="104">
        <f t="shared" si="3"/>
        <v>2500</v>
      </c>
      <c r="F36" s="149">
        <f t="shared" si="4"/>
        <v>176</v>
      </c>
      <c r="G36" s="78">
        <v>0</v>
      </c>
      <c r="H36" s="104">
        <f t="shared" si="5"/>
        <v>21.306818181818183</v>
      </c>
      <c r="I36" s="100">
        <v>0</v>
      </c>
      <c r="J36" s="100">
        <v>0</v>
      </c>
      <c r="K36" s="104">
        <f t="shared" si="6"/>
        <v>2500</v>
      </c>
      <c r="L36" s="104">
        <f t="shared" si="7"/>
        <v>450</v>
      </c>
      <c r="M36" s="150">
        <f t="shared" si="8"/>
        <v>2950</v>
      </c>
    </row>
    <row r="37" spans="1:13" ht="15" customHeight="1" x14ac:dyDescent="0.25">
      <c r="A37" s="92" t="s">
        <v>775</v>
      </c>
      <c r="B37" s="148" t="str">
        <f t="shared" si="0"/>
        <v>Angelos K.</v>
      </c>
      <c r="C37" s="97" t="str">
        <f t="shared" si="1"/>
        <v>Installation</v>
      </c>
      <c r="D37" s="97" t="str">
        <f t="shared" si="2"/>
        <v>Salary</v>
      </c>
      <c r="E37" s="104">
        <f t="shared" si="3"/>
        <v>2000</v>
      </c>
      <c r="F37" s="149">
        <f t="shared" si="4"/>
        <v>176</v>
      </c>
      <c r="G37" s="78">
        <v>0</v>
      </c>
      <c r="H37" s="104">
        <f t="shared" si="5"/>
        <v>17.045454545454547</v>
      </c>
      <c r="I37" s="100">
        <v>0</v>
      </c>
      <c r="J37" s="100">
        <v>0</v>
      </c>
      <c r="K37" s="104">
        <f t="shared" si="6"/>
        <v>2000</v>
      </c>
      <c r="L37" s="104">
        <f t="shared" si="7"/>
        <v>360</v>
      </c>
      <c r="M37" s="150">
        <f t="shared" si="8"/>
        <v>2360</v>
      </c>
    </row>
    <row r="38" spans="1:13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 ht="15" customHeight="1" x14ac:dyDescent="0.25">
      <c r="A39" s="145" t="s">
        <v>794</v>
      </c>
      <c r="B39" s="146"/>
      <c r="C39" s="146"/>
      <c r="D39" s="146"/>
      <c r="E39" s="119">
        <f>SUM(E3:E38)</f>
        <v>59922.400000000001</v>
      </c>
      <c r="F39" s="146"/>
      <c r="G39" s="146"/>
      <c r="H39" s="146"/>
      <c r="I39" s="119">
        <f>SUM(I3:I38)</f>
        <v>0</v>
      </c>
      <c r="J39" s="119">
        <f>SUM(J3:J38)</f>
        <v>0</v>
      </c>
      <c r="K39" s="119">
        <f>SUM(K3:K38)</f>
        <v>59922.400000000001</v>
      </c>
      <c r="L39" s="119">
        <f>SUM(L3:L38)</f>
        <v>10786.031999999997</v>
      </c>
      <c r="M39" s="119">
        <f>SUM(M3:M38)</f>
        <v>70708.432000000001</v>
      </c>
    </row>
    <row r="40" spans="1:13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1:13" ht="15" customHeight="1" x14ac:dyDescent="0.25">
      <c r="A42" s="147" t="s">
        <v>795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ht="15" customHeight="1" x14ac:dyDescent="0.25">
      <c r="A43" s="145" t="s">
        <v>668</v>
      </c>
      <c r="B43" s="145" t="s">
        <v>793</v>
      </c>
      <c r="C43" s="145" t="s">
        <v>669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13" ht="15" customHeight="1" x14ac:dyDescent="0.25">
      <c r="A44" s="92" t="s">
        <v>468</v>
      </c>
      <c r="B44" s="104">
        <f>SUMIFS(M3:M38,C3:C38,A44)</f>
        <v>7670</v>
      </c>
      <c r="C44" s="143">
        <f>COUNTIF(C3:C38,A44)</f>
        <v>3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ht="15" customHeight="1" x14ac:dyDescent="0.25">
      <c r="A45" s="92" t="s">
        <v>382</v>
      </c>
      <c r="B45" s="104">
        <f>SUMIFS(M3:M38,C3:C38,A45)</f>
        <v>6372</v>
      </c>
      <c r="C45" s="143">
        <f>COUNTIF(C3:C38,A45)</f>
        <v>3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1:13" ht="15" customHeight="1" x14ac:dyDescent="0.25">
      <c r="A46" s="92" t="s">
        <v>470</v>
      </c>
      <c r="B46" s="104">
        <f>SUMIFS(M3:M38,C3:C38,A46)</f>
        <v>4257.4400000000005</v>
      </c>
      <c r="C46" s="143">
        <f>COUNTIF(C3:C38,A46)</f>
        <v>2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ht="15" customHeight="1" x14ac:dyDescent="0.25">
      <c r="A47" s="92" t="s">
        <v>469</v>
      </c>
      <c r="B47" s="104">
        <f>SUMIFS(M3:M38,C3:C38,A47)</f>
        <v>4922.0159999999996</v>
      </c>
      <c r="C47" s="143">
        <f>COUNTIF(C3:C38,A47)</f>
        <v>3</v>
      </c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6.25" customHeight="1" x14ac:dyDescent="0.25">
      <c r="A48" s="92" t="s">
        <v>471</v>
      </c>
      <c r="B48" s="104">
        <f>SUMIFS(M3:M38,C3:C38,A48)</f>
        <v>3468.2559999999994</v>
      </c>
      <c r="C48" s="143">
        <f>COUNTIF(C3:C38,A48)</f>
        <v>2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1:13" ht="26.25" customHeight="1" x14ac:dyDescent="0.25">
      <c r="A49" s="92" t="s">
        <v>472</v>
      </c>
      <c r="B49" s="104">
        <f>SUMIFS(M3:M38,C3:C38,A49)</f>
        <v>8930.24</v>
      </c>
      <c r="C49" s="143">
        <f>COUNTIF(C3:C38,A49)</f>
        <v>5</v>
      </c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1:13" ht="15" customHeight="1" x14ac:dyDescent="0.25">
      <c r="A50" s="92" t="s">
        <v>473</v>
      </c>
      <c r="B50" s="104">
        <f>SUMIFS(M3:M38,C3:C38,A50)</f>
        <v>4984.32</v>
      </c>
      <c r="C50" s="143">
        <f>COUNTIF(C3:C38,A50)</f>
        <v>3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1:13" ht="15" customHeight="1" x14ac:dyDescent="0.25">
      <c r="A51" s="92" t="s">
        <v>475</v>
      </c>
      <c r="B51" s="104">
        <f>SUMIFS(M3:M38,C3:C38,A51)</f>
        <v>7995.68</v>
      </c>
      <c r="C51" s="143">
        <f>COUNTIF(C3:C38,A51)</f>
        <v>4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1:13" ht="15" customHeight="1" x14ac:dyDescent="0.25">
      <c r="A52" s="92" t="s">
        <v>476</v>
      </c>
      <c r="B52" s="104">
        <f>SUMIFS(M3:M38,C3:C38,A52)</f>
        <v>3011.3599999999997</v>
      </c>
      <c r="C52" s="143">
        <f>COUNTIF(C3:C38,A52)</f>
        <v>2</v>
      </c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13" ht="15" customHeight="1" x14ac:dyDescent="0.25">
      <c r="A53" s="92" t="s">
        <v>477</v>
      </c>
      <c r="B53" s="104">
        <f>SUMIFS(M3:M38,C3:C38,A53)</f>
        <v>3634.3999999999996</v>
      </c>
      <c r="C53" s="143">
        <f>COUNTIF(C3:C38,A53)</f>
        <v>2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1:13" ht="26.25" customHeight="1" x14ac:dyDescent="0.25">
      <c r="A54" s="92" t="s">
        <v>478</v>
      </c>
      <c r="B54" s="104">
        <f>SUMIFS(M3:M38,C3:C38,A54)</f>
      </c>
      <c r="C54" s="143">
        <f>COUNTIF(C3:C38,A54)</f>
      </c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spans="1:13" ht="26.25" customHeight="1" x14ac:dyDescent="0.25">
      <c r="A55" s="92" t="s">
        <v>527</v>
      </c>
      <c r="B55" s="104">
        <f>SUMIFS(M3:M38,C3:C38,A55)</f>
      </c>
      <c r="C55" s="143">
        <f>COUNTIF(C3:C38,A55)</f>
      </c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1:13" ht="26.25" customHeight="1" x14ac:dyDescent="0.25">
      <c r="A56" s="63" t="s">
        <v>297</v>
      </c>
      <c r="B56" s="131">
        <f>SUM(B44:B55)</f>
        <v>70708.432000000001</v>
      </c>
      <c r="C56" s="151">
        <f>SUM(C44:C55)</f>
        <v>35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>
      <c r="A57" t="inlineStr">
        <is>
          <t xml:space="preserve">CHECK vs TOTAL (must be 0)</t>
        </is>
      </c>
      <c r="B57">
        <f>M39-SUM(B44:B55)</f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M1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J202"/>
  <sheetViews>
    <sheetView zoomScaleNormal="100" workbookViewId="0">
      <pane ySplit="2" topLeftCell="A3" activePane="bottomLeft" state="frozen"/>
      <selection pane="bottomLeft" activeCell="E7" sqref="E7"/>
    </sheetView>
  </sheetViews>
  <sheetFormatPr defaultColWidth="8.7109375" defaultRowHeight="15" x14ac:dyDescent="0.25"/>
  <cols>
    <col min="1" max="1" width="12" customWidth="1"/>
    <col min="2" max="2" width="10" customWidth="1"/>
    <col min="3" max="3" width="22" customWidth="1"/>
    <col min="4" max="4" width="16" customWidth="1"/>
    <col min="5" max="5" width="12" customWidth="1"/>
    <col min="6" max="6" width="22" customWidth="1"/>
    <col min="7" max="7" width="10" customWidth="1"/>
    <col min="8" max="8" width="14" customWidth="1"/>
    <col min="9" max="9" width="12" customWidth="1"/>
    <col min="10" max="10" width="14" customWidth="1"/>
  </cols>
  <sheetData>
    <row r="1" spans="1:10" ht="30" customHeight="1" x14ac:dyDescent="0.25">
      <c r="A1" s="71" t="s">
        <v>778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7.75" customHeight="1" x14ac:dyDescent="0.25">
      <c r="A2" s="63" t="s">
        <v>18</v>
      </c>
      <c r="B2" s="63" t="s">
        <v>676</v>
      </c>
      <c r="C2" s="63" t="s">
        <v>779</v>
      </c>
      <c r="D2" s="63" t="s">
        <v>668</v>
      </c>
      <c r="E2" s="63" t="s">
        <v>20</v>
      </c>
      <c r="F2" s="63" t="s">
        <v>780</v>
      </c>
      <c r="G2" s="63" t="s">
        <v>519</v>
      </c>
      <c r="H2" s="63" t="s">
        <v>781</v>
      </c>
      <c r="I2" s="63" t="s">
        <v>782</v>
      </c>
      <c r="J2" s="63" t="s">
        <v>783</v>
      </c>
    </row>
    <row r="3" spans="1:10" ht="26.25" customHeight="1" x14ac:dyDescent="0.25">
      <c r="A3" s="94">
        <v>46113</v>
      </c>
      <c r="B3" s="93" t="s">
        <v>704</v>
      </c>
      <c r="C3" s="97" t="str">
        <f t="shared" ref="C3:C34" si="0">IFERROR(VLOOKUP(B3,Staff_Table,2,FALSE()),"")</f>
        <v>Dimitris V.</v>
      </c>
      <c r="D3" s="97" t="str">
        <f t="shared" ref="D3:D34" si="1">IFERROR(VLOOKUP(B3,Staff_Table,4,FALSE()),"")</f>
        <v>CNC</v>
      </c>
      <c r="E3" s="93" t="s">
        <v>312</v>
      </c>
      <c r="F3" s="93" t="s">
        <v>470</v>
      </c>
      <c r="G3" s="78">
        <v>8</v>
      </c>
      <c r="H3" s="95">
        <f t="shared" ref="H3:H34" si="2">IFERROR(VLOOKUP(B3,Staff_Table,7,FALSE()),"")</f>
        <v>11.5</v>
      </c>
      <c r="I3" s="78">
        <v>0</v>
      </c>
      <c r="J3" s="130">
        <f t="shared" ref="J3:J34" si="3">IFERROR(IF(B3="","",(G3*H3)+(I3*H3*Rate_Overtime_Mult)),0)</f>
        <v>92</v>
      </c>
    </row>
    <row r="4" spans="1:10" ht="26.25" customHeight="1" x14ac:dyDescent="0.25">
      <c r="A4" s="94">
        <v>46113</v>
      </c>
      <c r="B4" s="93" t="s">
        <v>723</v>
      </c>
      <c r="C4" s="97" t="str">
        <f t="shared" si="0"/>
        <v>Pavlos G.</v>
      </c>
      <c r="D4" s="97" t="str">
        <f t="shared" si="1"/>
        <v>Assembly</v>
      </c>
      <c r="E4" s="93" t="s">
        <v>312</v>
      </c>
      <c r="F4" s="93" t="s">
        <v>472</v>
      </c>
      <c r="G4" s="78">
        <v>7.5</v>
      </c>
      <c r="H4" s="95">
        <f t="shared" si="2"/>
        <v>10</v>
      </c>
      <c r="I4" s="78">
        <v>0.5</v>
      </c>
      <c r="J4" s="130">
        <f t="shared" si="3"/>
        <v>82.5</v>
      </c>
    </row>
    <row r="5" spans="1:10" ht="26.25" customHeight="1" x14ac:dyDescent="0.25">
      <c r="A5" s="94">
        <v>46114</v>
      </c>
      <c r="B5" s="93" t="s">
        <v>743</v>
      </c>
      <c r="C5" s="97" t="str">
        <f t="shared" si="0"/>
        <v>Christos E.</v>
      </c>
      <c r="D5" s="97" t="str">
        <f t="shared" si="1"/>
        <v>Paint</v>
      </c>
      <c r="E5" s="93" t="s">
        <v>312</v>
      </c>
      <c r="F5" s="93" t="s">
        <v>474</v>
      </c>
      <c r="G5" s="78">
        <v>8</v>
      </c>
      <c r="H5" s="95">
        <f t="shared" si="2"/>
        <v>11</v>
      </c>
      <c r="I5" s="78">
        <v>1</v>
      </c>
      <c r="J5" s="130">
        <f t="shared" si="3"/>
        <v>104.5</v>
      </c>
    </row>
    <row r="6" spans="1:10" ht="26.25" customHeight="1" x14ac:dyDescent="0.25">
      <c r="A6" s="94">
        <v>46115</v>
      </c>
      <c r="B6" s="93" t="s">
        <v>696</v>
      </c>
      <c r="C6" s="97" t="str">
        <f t="shared" si="0"/>
        <v>Christina S.</v>
      </c>
      <c r="D6" s="97" t="str">
        <f t="shared" si="1"/>
        <v>Design</v>
      </c>
      <c r="E6" s="93" t="s">
        <v>316</v>
      </c>
      <c r="F6" s="93" t="s">
        <v>382</v>
      </c>
      <c r="G6" s="78">
        <v>6</v>
      </c>
      <c r="H6" s="95">
        <f t="shared" si="2"/>
        <v>0</v>
      </c>
      <c r="I6" s="78">
        <v>0</v>
      </c>
      <c r="J6" s="130">
        <f t="shared" si="3"/>
        <v>0</v>
      </c>
    </row>
    <row r="7" spans="1:10" ht="26.25" customHeight="1" x14ac:dyDescent="0.25">
      <c r="A7" s="94">
        <v>46115</v>
      </c>
      <c r="B7" s="93" t="s">
        <v>765</v>
      </c>
      <c r="C7" s="97" t="str">
        <f t="shared" si="0"/>
        <v>Konstantinos X.</v>
      </c>
      <c r="D7" s="97" t="str">
        <f t="shared" si="1"/>
        <v>Installation</v>
      </c>
      <c r="E7" s="93" t="s">
        <v>316</v>
      </c>
      <c r="F7" s="93" t="s">
        <v>478</v>
      </c>
      <c r="G7" s="78">
        <v>9</v>
      </c>
      <c r="H7" s="95">
        <f t="shared" si="2"/>
        <v>10</v>
      </c>
      <c r="I7" s="78">
        <v>1.5</v>
      </c>
      <c r="J7" s="130">
        <f t="shared" si="3"/>
        <v>112.5</v>
      </c>
    </row>
    <row r="8" spans="1:10" ht="15" customHeight="1" x14ac:dyDescent="0.25">
      <c r="A8" s="93"/>
      <c r="B8" s="93"/>
      <c r="C8" s="97" t="str">
        <f t="shared" si="0"/>
        <v/>
      </c>
      <c r="D8" s="97" t="str">
        <f t="shared" si="1"/>
        <v/>
      </c>
      <c r="E8" s="93"/>
      <c r="F8" s="93"/>
      <c r="G8" s="93"/>
      <c r="H8" s="95" t="str">
        <f t="shared" si="2"/>
        <v/>
      </c>
      <c r="I8" s="93"/>
      <c r="J8" s="130" t="str">
        <f t="shared" si="3"/>
        <v/>
      </c>
    </row>
    <row r="9" spans="1:10" ht="15" customHeight="1" x14ac:dyDescent="0.25">
      <c r="A9" s="93"/>
      <c r="B9" s="93"/>
      <c r="C9" s="97" t="str">
        <f t="shared" si="0"/>
        <v/>
      </c>
      <c r="D9" s="97" t="str">
        <f t="shared" si="1"/>
        <v/>
      </c>
      <c r="E9" s="93"/>
      <c r="F9" s="93"/>
      <c r="G9" s="93"/>
      <c r="H9" s="95" t="str">
        <f t="shared" si="2"/>
        <v/>
      </c>
      <c r="I9" s="93"/>
      <c r="J9" s="130" t="str">
        <f t="shared" si="3"/>
        <v/>
      </c>
    </row>
    <row r="10" spans="1:10" ht="15" customHeight="1" x14ac:dyDescent="0.25">
      <c r="A10" s="93"/>
      <c r="B10" s="93"/>
      <c r="C10" s="97" t="str">
        <f t="shared" si="0"/>
        <v/>
      </c>
      <c r="D10" s="97" t="str">
        <f t="shared" si="1"/>
        <v/>
      </c>
      <c r="E10" s="93"/>
      <c r="F10" s="93"/>
      <c r="G10" s="93"/>
      <c r="H10" s="95" t="str">
        <f t="shared" si="2"/>
        <v/>
      </c>
      <c r="I10" s="93"/>
      <c r="J10" s="130" t="str">
        <f t="shared" si="3"/>
        <v/>
      </c>
    </row>
    <row r="11" spans="1:10" ht="15" customHeight="1" x14ac:dyDescent="0.25">
      <c r="A11" s="93"/>
      <c r="B11" s="93"/>
      <c r="C11" s="97" t="str">
        <f t="shared" si="0"/>
        <v/>
      </c>
      <c r="D11" s="97" t="str">
        <f t="shared" si="1"/>
        <v/>
      </c>
      <c r="E11" s="93"/>
      <c r="F11" s="93"/>
      <c r="G11" s="93"/>
      <c r="H11" s="95" t="str">
        <f t="shared" si="2"/>
        <v/>
      </c>
      <c r="I11" s="93"/>
      <c r="J11" s="130" t="str">
        <f t="shared" si="3"/>
        <v/>
      </c>
    </row>
    <row r="12" spans="1:10" ht="15" customHeight="1" x14ac:dyDescent="0.25">
      <c r="A12" s="93"/>
      <c r="B12" s="93"/>
      <c r="C12" s="97" t="str">
        <f t="shared" si="0"/>
        <v/>
      </c>
      <c r="D12" s="97" t="str">
        <f t="shared" si="1"/>
        <v/>
      </c>
      <c r="E12" s="93"/>
      <c r="F12" s="93"/>
      <c r="G12" s="93"/>
      <c r="H12" s="95" t="str">
        <f t="shared" si="2"/>
        <v/>
      </c>
      <c r="I12" s="93"/>
      <c r="J12" s="130" t="str">
        <f t="shared" si="3"/>
        <v/>
      </c>
    </row>
    <row r="13" spans="1:10" ht="15" customHeight="1" x14ac:dyDescent="0.25">
      <c r="A13" s="93"/>
      <c r="B13" s="93"/>
      <c r="C13" s="97" t="str">
        <f t="shared" si="0"/>
        <v/>
      </c>
      <c r="D13" s="97" t="str">
        <f t="shared" si="1"/>
        <v/>
      </c>
      <c r="E13" s="93"/>
      <c r="F13" s="93"/>
      <c r="G13" s="93"/>
      <c r="H13" s="95" t="str">
        <f t="shared" si="2"/>
        <v/>
      </c>
      <c r="I13" s="93"/>
      <c r="J13" s="130" t="str">
        <f t="shared" si="3"/>
        <v/>
      </c>
    </row>
    <row r="14" spans="1:10" ht="15" customHeight="1" x14ac:dyDescent="0.25">
      <c r="A14" s="93"/>
      <c r="B14" s="93"/>
      <c r="C14" s="97" t="str">
        <f t="shared" si="0"/>
        <v/>
      </c>
      <c r="D14" s="97" t="str">
        <f t="shared" si="1"/>
        <v/>
      </c>
      <c r="E14" s="93"/>
      <c r="F14" s="93"/>
      <c r="G14" s="93"/>
      <c r="H14" s="95" t="str">
        <f t="shared" si="2"/>
        <v/>
      </c>
      <c r="I14" s="93"/>
      <c r="J14" s="130" t="str">
        <f t="shared" si="3"/>
        <v/>
      </c>
    </row>
    <row r="15" spans="1:10" ht="15" customHeight="1" x14ac:dyDescent="0.25">
      <c r="A15" s="93"/>
      <c r="B15" s="93"/>
      <c r="C15" s="97" t="str">
        <f t="shared" si="0"/>
        <v/>
      </c>
      <c r="D15" s="97" t="str">
        <f t="shared" si="1"/>
        <v/>
      </c>
      <c r="E15" s="93"/>
      <c r="F15" s="93"/>
      <c r="G15" s="93"/>
      <c r="H15" s="95" t="str">
        <f t="shared" si="2"/>
        <v/>
      </c>
      <c r="I15" s="93"/>
      <c r="J15" s="130" t="str">
        <f t="shared" si="3"/>
        <v/>
      </c>
    </row>
    <row r="16" spans="1:10" ht="15" customHeight="1" x14ac:dyDescent="0.25">
      <c r="A16" s="93"/>
      <c r="B16" s="93"/>
      <c r="C16" s="97" t="str">
        <f t="shared" si="0"/>
        <v/>
      </c>
      <c r="D16" s="97" t="str">
        <f t="shared" si="1"/>
        <v/>
      </c>
      <c r="E16" s="93"/>
      <c r="F16" s="93"/>
      <c r="G16" s="93"/>
      <c r="H16" s="95" t="str">
        <f t="shared" si="2"/>
        <v/>
      </c>
      <c r="I16" s="93"/>
      <c r="J16" s="130" t="str">
        <f t="shared" si="3"/>
        <v/>
      </c>
    </row>
    <row r="17" spans="1:10" ht="15" customHeight="1" x14ac:dyDescent="0.25">
      <c r="A17" s="93"/>
      <c r="B17" s="93"/>
      <c r="C17" s="97" t="str">
        <f t="shared" si="0"/>
        <v/>
      </c>
      <c r="D17" s="97" t="str">
        <f t="shared" si="1"/>
        <v/>
      </c>
      <c r="E17" s="93"/>
      <c r="F17" s="93"/>
      <c r="G17" s="93"/>
      <c r="H17" s="95" t="str">
        <f t="shared" si="2"/>
        <v/>
      </c>
      <c r="I17" s="93"/>
      <c r="J17" s="130" t="str">
        <f t="shared" si="3"/>
        <v/>
      </c>
    </row>
    <row r="18" spans="1:10" ht="15" customHeight="1" x14ac:dyDescent="0.25">
      <c r="A18" s="93"/>
      <c r="B18" s="93"/>
      <c r="C18" s="97" t="str">
        <f t="shared" si="0"/>
        <v/>
      </c>
      <c r="D18" s="97" t="str">
        <f t="shared" si="1"/>
        <v/>
      </c>
      <c r="E18" s="93"/>
      <c r="F18" s="93"/>
      <c r="G18" s="93"/>
      <c r="H18" s="95" t="str">
        <f t="shared" si="2"/>
        <v/>
      </c>
      <c r="I18" s="93"/>
      <c r="J18" s="130" t="str">
        <f t="shared" si="3"/>
        <v/>
      </c>
    </row>
    <row r="19" spans="1:10" ht="15" customHeight="1" x14ac:dyDescent="0.25">
      <c r="A19" s="93"/>
      <c r="B19" s="93"/>
      <c r="C19" s="97" t="str">
        <f t="shared" si="0"/>
        <v/>
      </c>
      <c r="D19" s="97" t="str">
        <f t="shared" si="1"/>
        <v/>
      </c>
      <c r="E19" s="93"/>
      <c r="F19" s="93"/>
      <c r="G19" s="93"/>
      <c r="H19" s="95" t="str">
        <f t="shared" si="2"/>
        <v/>
      </c>
      <c r="I19" s="93"/>
      <c r="J19" s="130" t="str">
        <f t="shared" si="3"/>
        <v/>
      </c>
    </row>
    <row r="20" spans="1:10" ht="15" customHeight="1" x14ac:dyDescent="0.25">
      <c r="A20" s="93"/>
      <c r="B20" s="93"/>
      <c r="C20" s="97" t="str">
        <f t="shared" si="0"/>
        <v/>
      </c>
      <c r="D20" s="97" t="str">
        <f t="shared" si="1"/>
        <v/>
      </c>
      <c r="E20" s="93"/>
      <c r="F20" s="93"/>
      <c r="G20" s="93"/>
      <c r="H20" s="95" t="str">
        <f t="shared" si="2"/>
        <v/>
      </c>
      <c r="I20" s="93"/>
      <c r="J20" s="130" t="str">
        <f t="shared" si="3"/>
        <v/>
      </c>
    </row>
    <row r="21" spans="1:10" ht="15" customHeight="1" x14ac:dyDescent="0.25">
      <c r="A21" s="93"/>
      <c r="B21" s="93"/>
      <c r="C21" s="97" t="str">
        <f t="shared" si="0"/>
        <v/>
      </c>
      <c r="D21" s="97" t="str">
        <f t="shared" si="1"/>
        <v/>
      </c>
      <c r="E21" s="93"/>
      <c r="F21" s="93"/>
      <c r="G21" s="93"/>
      <c r="H21" s="95" t="str">
        <f t="shared" si="2"/>
        <v/>
      </c>
      <c r="I21" s="93"/>
      <c r="J21" s="130" t="str">
        <f t="shared" si="3"/>
        <v/>
      </c>
    </row>
    <row r="22" spans="1:10" ht="15" customHeight="1" x14ac:dyDescent="0.25">
      <c r="A22" s="93"/>
      <c r="B22" s="93"/>
      <c r="C22" s="97" t="str">
        <f t="shared" si="0"/>
        <v/>
      </c>
      <c r="D22" s="97" t="str">
        <f t="shared" si="1"/>
        <v/>
      </c>
      <c r="E22" s="93"/>
      <c r="F22" s="93"/>
      <c r="G22" s="93"/>
      <c r="H22" s="95" t="str">
        <f t="shared" si="2"/>
        <v/>
      </c>
      <c r="I22" s="93"/>
      <c r="J22" s="130" t="str">
        <f t="shared" si="3"/>
        <v/>
      </c>
    </row>
    <row r="23" spans="1:10" ht="15" customHeight="1" x14ac:dyDescent="0.25">
      <c r="A23" s="93"/>
      <c r="B23" s="93"/>
      <c r="C23" s="97" t="str">
        <f t="shared" si="0"/>
        <v/>
      </c>
      <c r="D23" s="97" t="str">
        <f t="shared" si="1"/>
        <v/>
      </c>
      <c r="E23" s="93"/>
      <c r="F23" s="93"/>
      <c r="G23" s="93"/>
      <c r="H23" s="95" t="str">
        <f t="shared" si="2"/>
        <v/>
      </c>
      <c r="I23" s="93"/>
      <c r="J23" s="130" t="str">
        <f t="shared" si="3"/>
        <v/>
      </c>
    </row>
    <row r="24" spans="1:10" ht="15" customHeight="1" x14ac:dyDescent="0.25">
      <c r="A24" s="93"/>
      <c r="B24" s="93"/>
      <c r="C24" s="97" t="str">
        <f t="shared" si="0"/>
        <v/>
      </c>
      <c r="D24" s="97" t="str">
        <f t="shared" si="1"/>
        <v/>
      </c>
      <c r="E24" s="93"/>
      <c r="F24" s="93"/>
      <c r="G24" s="93"/>
      <c r="H24" s="95" t="str">
        <f t="shared" si="2"/>
        <v/>
      </c>
      <c r="I24" s="93"/>
      <c r="J24" s="130" t="str">
        <f t="shared" si="3"/>
        <v/>
      </c>
    </row>
    <row r="25" spans="1:10" ht="15" customHeight="1" x14ac:dyDescent="0.25">
      <c r="A25" s="93"/>
      <c r="B25" s="93"/>
      <c r="C25" s="97" t="str">
        <f t="shared" si="0"/>
        <v/>
      </c>
      <c r="D25" s="97" t="str">
        <f t="shared" si="1"/>
        <v/>
      </c>
      <c r="E25" s="93"/>
      <c r="F25" s="93"/>
      <c r="G25" s="93"/>
      <c r="H25" s="95" t="str">
        <f t="shared" si="2"/>
        <v/>
      </c>
      <c r="I25" s="93"/>
      <c r="J25" s="130" t="str">
        <f t="shared" si="3"/>
        <v/>
      </c>
    </row>
    <row r="26" spans="1:10" ht="15" customHeight="1" x14ac:dyDescent="0.25">
      <c r="A26" s="93"/>
      <c r="B26" s="93"/>
      <c r="C26" s="97" t="str">
        <f t="shared" si="0"/>
        <v/>
      </c>
      <c r="D26" s="97" t="str">
        <f t="shared" si="1"/>
        <v/>
      </c>
      <c r="E26" s="93"/>
      <c r="F26" s="93"/>
      <c r="G26" s="93"/>
      <c r="H26" s="95" t="str">
        <f t="shared" si="2"/>
        <v/>
      </c>
      <c r="I26" s="93"/>
      <c r="J26" s="130" t="str">
        <f t="shared" si="3"/>
        <v/>
      </c>
    </row>
    <row r="27" spans="1:10" ht="15" customHeight="1" x14ac:dyDescent="0.25">
      <c r="A27" s="93"/>
      <c r="B27" s="93"/>
      <c r="C27" s="97" t="str">
        <f t="shared" si="0"/>
        <v/>
      </c>
      <c r="D27" s="97" t="str">
        <f t="shared" si="1"/>
        <v/>
      </c>
      <c r="E27" s="93"/>
      <c r="F27" s="93"/>
      <c r="G27" s="93"/>
      <c r="H27" s="95" t="str">
        <f t="shared" si="2"/>
        <v/>
      </c>
      <c r="I27" s="93"/>
      <c r="J27" s="130" t="str">
        <f t="shared" si="3"/>
        <v/>
      </c>
    </row>
    <row r="28" spans="1:10" ht="15" customHeight="1" x14ac:dyDescent="0.25">
      <c r="A28" s="93"/>
      <c r="B28" s="93"/>
      <c r="C28" s="97" t="str">
        <f t="shared" si="0"/>
        <v/>
      </c>
      <c r="D28" s="97" t="str">
        <f t="shared" si="1"/>
        <v/>
      </c>
      <c r="E28" s="93"/>
      <c r="F28" s="93"/>
      <c r="G28" s="93"/>
      <c r="H28" s="95" t="str">
        <f t="shared" si="2"/>
        <v/>
      </c>
      <c r="I28" s="93"/>
      <c r="J28" s="130" t="str">
        <f t="shared" si="3"/>
        <v/>
      </c>
    </row>
    <row r="29" spans="1:10" ht="15" customHeight="1" x14ac:dyDescent="0.25">
      <c r="A29" s="93"/>
      <c r="B29" s="93"/>
      <c r="C29" s="97" t="str">
        <f t="shared" si="0"/>
        <v/>
      </c>
      <c r="D29" s="97" t="str">
        <f t="shared" si="1"/>
        <v/>
      </c>
      <c r="E29" s="93"/>
      <c r="F29" s="93"/>
      <c r="G29" s="93"/>
      <c r="H29" s="95" t="str">
        <f t="shared" si="2"/>
        <v/>
      </c>
      <c r="I29" s="93"/>
      <c r="J29" s="130" t="str">
        <f t="shared" si="3"/>
        <v/>
      </c>
    </row>
    <row r="30" spans="1:10" ht="15" customHeight="1" x14ac:dyDescent="0.25">
      <c r="A30" s="93"/>
      <c r="B30" s="93"/>
      <c r="C30" s="97" t="str">
        <f t="shared" si="0"/>
        <v/>
      </c>
      <c r="D30" s="97" t="str">
        <f t="shared" si="1"/>
        <v/>
      </c>
      <c r="E30" s="93"/>
      <c r="F30" s="93"/>
      <c r="G30" s="93"/>
      <c r="H30" s="95" t="str">
        <f t="shared" si="2"/>
        <v/>
      </c>
      <c r="I30" s="93"/>
      <c r="J30" s="130" t="str">
        <f t="shared" si="3"/>
        <v/>
      </c>
    </row>
    <row r="31" spans="1:10" ht="15" customHeight="1" x14ac:dyDescent="0.25">
      <c r="A31" s="93"/>
      <c r="B31" s="93"/>
      <c r="C31" s="97" t="str">
        <f t="shared" si="0"/>
        <v/>
      </c>
      <c r="D31" s="97" t="str">
        <f t="shared" si="1"/>
        <v/>
      </c>
      <c r="E31" s="93"/>
      <c r="F31" s="93"/>
      <c r="G31" s="93"/>
      <c r="H31" s="95" t="str">
        <f t="shared" si="2"/>
        <v/>
      </c>
      <c r="I31" s="93"/>
      <c r="J31" s="130" t="str">
        <f t="shared" si="3"/>
        <v/>
      </c>
    </row>
    <row r="32" spans="1:10" ht="15" customHeight="1" x14ac:dyDescent="0.25">
      <c r="A32" s="93"/>
      <c r="B32" s="93"/>
      <c r="C32" s="97" t="str">
        <f t="shared" si="0"/>
        <v/>
      </c>
      <c r="D32" s="97" t="str">
        <f t="shared" si="1"/>
        <v/>
      </c>
      <c r="E32" s="93"/>
      <c r="F32" s="93"/>
      <c r="G32" s="93"/>
      <c r="H32" s="95" t="str">
        <f t="shared" si="2"/>
        <v/>
      </c>
      <c r="I32" s="93"/>
      <c r="J32" s="130" t="str">
        <f t="shared" si="3"/>
        <v/>
      </c>
    </row>
    <row r="33" spans="1:10" ht="15" customHeight="1" x14ac:dyDescent="0.25">
      <c r="A33" s="93"/>
      <c r="B33" s="93"/>
      <c r="C33" s="97" t="str">
        <f t="shared" si="0"/>
        <v/>
      </c>
      <c r="D33" s="97" t="str">
        <f t="shared" si="1"/>
        <v/>
      </c>
      <c r="E33" s="93"/>
      <c r="F33" s="93"/>
      <c r="G33" s="93"/>
      <c r="H33" s="95" t="str">
        <f t="shared" si="2"/>
        <v/>
      </c>
      <c r="I33" s="93"/>
      <c r="J33" s="130" t="str">
        <f t="shared" si="3"/>
        <v/>
      </c>
    </row>
    <row r="34" spans="1:10" ht="15" customHeight="1" x14ac:dyDescent="0.25">
      <c r="A34" s="93"/>
      <c r="B34" s="93"/>
      <c r="C34" s="97" t="str">
        <f t="shared" si="0"/>
        <v/>
      </c>
      <c r="D34" s="97" t="str">
        <f t="shared" si="1"/>
        <v/>
      </c>
      <c r="E34" s="93"/>
      <c r="F34" s="93"/>
      <c r="G34" s="93"/>
      <c r="H34" s="95" t="str">
        <f t="shared" si="2"/>
        <v/>
      </c>
      <c r="I34" s="93"/>
      <c r="J34" s="130" t="str">
        <f t="shared" si="3"/>
        <v/>
      </c>
    </row>
    <row r="35" spans="1:10" ht="15" customHeight="1" x14ac:dyDescent="0.25">
      <c r="A35" s="93"/>
      <c r="B35" s="93"/>
      <c r="C35" s="97" t="str">
        <f t="shared" ref="C35:C66" si="4">IFERROR(VLOOKUP(B35,Staff_Table,2,FALSE()),"")</f>
        <v/>
      </c>
      <c r="D35" s="97" t="str">
        <f t="shared" ref="D35:D66" si="5">IFERROR(VLOOKUP(B35,Staff_Table,4,FALSE()),"")</f>
        <v/>
      </c>
      <c r="E35" s="93"/>
      <c r="F35" s="93"/>
      <c r="G35" s="93"/>
      <c r="H35" s="95" t="str">
        <f t="shared" ref="H35:H66" si="6">IFERROR(VLOOKUP(B35,Staff_Table,7,FALSE()),"")</f>
        <v/>
      </c>
      <c r="I35" s="93"/>
      <c r="J35" s="130" t="str">
        <f t="shared" ref="J35:J66" si="7">IFERROR(IF(B35="","",(G35*H35)+(I35*H35*Rate_Overtime_Mult)),0)</f>
        <v/>
      </c>
    </row>
    <row r="36" spans="1:10" ht="15" customHeight="1" x14ac:dyDescent="0.25">
      <c r="A36" s="93"/>
      <c r="B36" s="93"/>
      <c r="C36" s="97" t="str">
        <f t="shared" si="4"/>
        <v/>
      </c>
      <c r="D36" s="97" t="str">
        <f t="shared" si="5"/>
        <v/>
      </c>
      <c r="E36" s="93"/>
      <c r="F36" s="93"/>
      <c r="G36" s="93"/>
      <c r="H36" s="95" t="str">
        <f t="shared" si="6"/>
        <v/>
      </c>
      <c r="I36" s="93"/>
      <c r="J36" s="130" t="str">
        <f t="shared" si="7"/>
        <v/>
      </c>
    </row>
    <row r="37" spans="1:10" ht="15" customHeight="1" x14ac:dyDescent="0.25">
      <c r="A37" s="93"/>
      <c r="B37" s="93"/>
      <c r="C37" s="97" t="str">
        <f t="shared" si="4"/>
        <v/>
      </c>
      <c r="D37" s="97" t="str">
        <f t="shared" si="5"/>
        <v/>
      </c>
      <c r="E37" s="93"/>
      <c r="F37" s="93"/>
      <c r="G37" s="93"/>
      <c r="H37" s="95" t="str">
        <f t="shared" si="6"/>
        <v/>
      </c>
      <c r="I37" s="93"/>
      <c r="J37" s="130" t="str">
        <f t="shared" si="7"/>
        <v/>
      </c>
    </row>
    <row r="38" spans="1:10" ht="15" customHeight="1" x14ac:dyDescent="0.25">
      <c r="A38" s="93"/>
      <c r="B38" s="93"/>
      <c r="C38" s="97" t="str">
        <f t="shared" si="4"/>
        <v/>
      </c>
      <c r="D38" s="97" t="str">
        <f t="shared" si="5"/>
        <v/>
      </c>
      <c r="E38" s="93"/>
      <c r="F38" s="93"/>
      <c r="G38" s="93"/>
      <c r="H38" s="95" t="str">
        <f t="shared" si="6"/>
        <v/>
      </c>
      <c r="I38" s="93"/>
      <c r="J38" s="130" t="str">
        <f t="shared" si="7"/>
        <v/>
      </c>
    </row>
    <row r="39" spans="1:10" ht="15" customHeight="1" x14ac:dyDescent="0.25">
      <c r="A39" s="93"/>
      <c r="B39" s="93"/>
      <c r="C39" s="97" t="str">
        <f t="shared" si="4"/>
        <v/>
      </c>
      <c r="D39" s="97" t="str">
        <f t="shared" si="5"/>
        <v/>
      </c>
      <c r="E39" s="93"/>
      <c r="F39" s="93"/>
      <c r="G39" s="93"/>
      <c r="H39" s="95" t="str">
        <f t="shared" si="6"/>
        <v/>
      </c>
      <c r="I39" s="93"/>
      <c r="J39" s="130" t="str">
        <f t="shared" si="7"/>
        <v/>
      </c>
    </row>
    <row r="40" spans="1:10" ht="15" customHeight="1" x14ac:dyDescent="0.25">
      <c r="A40" s="93"/>
      <c r="B40" s="93"/>
      <c r="C40" s="97" t="str">
        <f t="shared" si="4"/>
        <v/>
      </c>
      <c r="D40" s="97" t="str">
        <f t="shared" si="5"/>
        <v/>
      </c>
      <c r="E40" s="93"/>
      <c r="F40" s="93"/>
      <c r="G40" s="93"/>
      <c r="H40" s="95" t="str">
        <f t="shared" si="6"/>
        <v/>
      </c>
      <c r="I40" s="93"/>
      <c r="J40" s="130" t="str">
        <f t="shared" si="7"/>
        <v/>
      </c>
    </row>
    <row r="41" spans="1:10" ht="15" customHeight="1" x14ac:dyDescent="0.25">
      <c r="A41" s="93"/>
      <c r="B41" s="93"/>
      <c r="C41" s="97" t="str">
        <f t="shared" si="4"/>
        <v/>
      </c>
      <c r="D41" s="97" t="str">
        <f t="shared" si="5"/>
        <v/>
      </c>
      <c r="E41" s="93"/>
      <c r="F41" s="93"/>
      <c r="G41" s="93"/>
      <c r="H41" s="95" t="str">
        <f t="shared" si="6"/>
        <v/>
      </c>
      <c r="I41" s="93"/>
      <c r="J41" s="130" t="str">
        <f t="shared" si="7"/>
        <v/>
      </c>
    </row>
    <row r="42" spans="1:10" ht="15" customHeight="1" x14ac:dyDescent="0.25">
      <c r="A42" s="93"/>
      <c r="B42" s="93"/>
      <c r="C42" s="97" t="str">
        <f t="shared" si="4"/>
        <v/>
      </c>
      <c r="D42" s="97" t="str">
        <f t="shared" si="5"/>
        <v/>
      </c>
      <c r="E42" s="93"/>
      <c r="F42" s="93"/>
      <c r="G42" s="93"/>
      <c r="H42" s="95" t="str">
        <f t="shared" si="6"/>
        <v/>
      </c>
      <c r="I42" s="93"/>
      <c r="J42" s="130" t="str">
        <f t="shared" si="7"/>
        <v/>
      </c>
    </row>
    <row r="43" spans="1:10" ht="15" customHeight="1" x14ac:dyDescent="0.25">
      <c r="A43" s="93"/>
      <c r="B43" s="93"/>
      <c r="C43" s="97" t="str">
        <f t="shared" si="4"/>
        <v/>
      </c>
      <c r="D43" s="97" t="str">
        <f t="shared" si="5"/>
        <v/>
      </c>
      <c r="E43" s="93"/>
      <c r="F43" s="93"/>
      <c r="G43" s="93"/>
      <c r="H43" s="95" t="str">
        <f t="shared" si="6"/>
        <v/>
      </c>
      <c r="I43" s="93"/>
      <c r="J43" s="130" t="str">
        <f t="shared" si="7"/>
        <v/>
      </c>
    </row>
    <row r="44" spans="1:10" ht="15" customHeight="1" x14ac:dyDescent="0.25">
      <c r="A44" s="93"/>
      <c r="B44" s="93"/>
      <c r="C44" s="97" t="str">
        <f t="shared" si="4"/>
        <v/>
      </c>
      <c r="D44" s="97" t="str">
        <f t="shared" si="5"/>
        <v/>
      </c>
      <c r="E44" s="93"/>
      <c r="F44" s="93"/>
      <c r="G44" s="93"/>
      <c r="H44" s="95" t="str">
        <f t="shared" si="6"/>
        <v/>
      </c>
      <c r="I44" s="93"/>
      <c r="J44" s="130" t="str">
        <f t="shared" si="7"/>
        <v/>
      </c>
    </row>
    <row r="45" spans="1:10" ht="15" customHeight="1" x14ac:dyDescent="0.25">
      <c r="A45" s="93"/>
      <c r="B45" s="93"/>
      <c r="C45" s="97" t="str">
        <f t="shared" si="4"/>
        <v/>
      </c>
      <c r="D45" s="97" t="str">
        <f t="shared" si="5"/>
        <v/>
      </c>
      <c r="E45" s="93"/>
      <c r="F45" s="93"/>
      <c r="G45" s="93"/>
      <c r="H45" s="95" t="str">
        <f t="shared" si="6"/>
        <v/>
      </c>
      <c r="I45" s="93"/>
      <c r="J45" s="130" t="str">
        <f t="shared" si="7"/>
        <v/>
      </c>
    </row>
    <row r="46" spans="1:10" ht="15" customHeight="1" x14ac:dyDescent="0.25">
      <c r="A46" s="93"/>
      <c r="B46" s="93"/>
      <c r="C46" s="97" t="str">
        <f t="shared" si="4"/>
        <v/>
      </c>
      <c r="D46" s="97" t="str">
        <f t="shared" si="5"/>
        <v/>
      </c>
      <c r="E46" s="93"/>
      <c r="F46" s="93"/>
      <c r="G46" s="93"/>
      <c r="H46" s="95" t="str">
        <f t="shared" si="6"/>
        <v/>
      </c>
      <c r="I46" s="93"/>
      <c r="J46" s="130" t="str">
        <f t="shared" si="7"/>
        <v/>
      </c>
    </row>
    <row r="47" spans="1:10" ht="15" customHeight="1" x14ac:dyDescent="0.25">
      <c r="A47" s="93"/>
      <c r="B47" s="93"/>
      <c r="C47" s="97" t="str">
        <f t="shared" si="4"/>
        <v/>
      </c>
      <c r="D47" s="97" t="str">
        <f t="shared" si="5"/>
        <v/>
      </c>
      <c r="E47" s="93"/>
      <c r="F47" s="93"/>
      <c r="G47" s="93"/>
      <c r="H47" s="95" t="str">
        <f t="shared" si="6"/>
        <v/>
      </c>
      <c r="I47" s="93"/>
      <c r="J47" s="130" t="str">
        <f t="shared" si="7"/>
        <v/>
      </c>
    </row>
    <row r="48" spans="1:10" ht="15" customHeight="1" x14ac:dyDescent="0.25">
      <c r="A48" s="93"/>
      <c r="B48" s="93"/>
      <c r="C48" s="97" t="str">
        <f t="shared" si="4"/>
        <v/>
      </c>
      <c r="D48" s="97" t="str">
        <f t="shared" si="5"/>
        <v/>
      </c>
      <c r="E48" s="93"/>
      <c r="F48" s="93"/>
      <c r="G48" s="93"/>
      <c r="H48" s="95" t="str">
        <f t="shared" si="6"/>
        <v/>
      </c>
      <c r="I48" s="93"/>
      <c r="J48" s="130" t="str">
        <f t="shared" si="7"/>
        <v/>
      </c>
    </row>
    <row r="49" spans="1:10" ht="15" customHeight="1" x14ac:dyDescent="0.25">
      <c r="A49" s="93"/>
      <c r="B49" s="93"/>
      <c r="C49" s="97" t="str">
        <f t="shared" si="4"/>
        <v/>
      </c>
      <c r="D49" s="97" t="str">
        <f t="shared" si="5"/>
        <v/>
      </c>
      <c r="E49" s="93"/>
      <c r="F49" s="93"/>
      <c r="G49" s="93"/>
      <c r="H49" s="95" t="str">
        <f t="shared" si="6"/>
        <v/>
      </c>
      <c r="I49" s="93"/>
      <c r="J49" s="130" t="str">
        <f t="shared" si="7"/>
        <v/>
      </c>
    </row>
    <row r="50" spans="1:10" ht="15" customHeight="1" x14ac:dyDescent="0.25">
      <c r="A50" s="93"/>
      <c r="B50" s="93"/>
      <c r="C50" s="97" t="str">
        <f t="shared" si="4"/>
        <v/>
      </c>
      <c r="D50" s="97" t="str">
        <f t="shared" si="5"/>
        <v/>
      </c>
      <c r="E50" s="93"/>
      <c r="F50" s="93"/>
      <c r="G50" s="93"/>
      <c r="H50" s="95" t="str">
        <f t="shared" si="6"/>
        <v/>
      </c>
      <c r="I50" s="93"/>
      <c r="J50" s="130" t="str">
        <f t="shared" si="7"/>
        <v/>
      </c>
    </row>
    <row r="51" spans="1:10" ht="15" customHeight="1" x14ac:dyDescent="0.25">
      <c r="A51" s="93"/>
      <c r="B51" s="93"/>
      <c r="C51" s="97" t="str">
        <f t="shared" si="4"/>
        <v/>
      </c>
      <c r="D51" s="97" t="str">
        <f t="shared" si="5"/>
        <v/>
      </c>
      <c r="E51" s="93"/>
      <c r="F51" s="93"/>
      <c r="G51" s="93"/>
      <c r="H51" s="95" t="str">
        <f t="shared" si="6"/>
        <v/>
      </c>
      <c r="I51" s="93"/>
      <c r="J51" s="130" t="str">
        <f t="shared" si="7"/>
        <v/>
      </c>
    </row>
    <row r="52" spans="1:10" ht="15" customHeight="1" x14ac:dyDescent="0.25">
      <c r="A52" s="93"/>
      <c r="B52" s="93"/>
      <c r="C52" s="97" t="str">
        <f t="shared" si="4"/>
        <v/>
      </c>
      <c r="D52" s="97" t="str">
        <f t="shared" si="5"/>
        <v/>
      </c>
      <c r="E52" s="93"/>
      <c r="F52" s="93"/>
      <c r="G52" s="93"/>
      <c r="H52" s="95" t="str">
        <f t="shared" si="6"/>
        <v/>
      </c>
      <c r="I52" s="93"/>
      <c r="J52" s="130" t="str">
        <f t="shared" si="7"/>
        <v/>
      </c>
    </row>
    <row r="53" spans="1:10" ht="15" customHeight="1" x14ac:dyDescent="0.25">
      <c r="A53" s="93"/>
      <c r="B53" s="93"/>
      <c r="C53" s="97" t="str">
        <f t="shared" si="4"/>
        <v/>
      </c>
      <c r="D53" s="97" t="str">
        <f t="shared" si="5"/>
        <v/>
      </c>
      <c r="E53" s="93"/>
      <c r="F53" s="93"/>
      <c r="G53" s="93"/>
      <c r="H53" s="95" t="str">
        <f t="shared" si="6"/>
        <v/>
      </c>
      <c r="I53" s="93"/>
      <c r="J53" s="130" t="str">
        <f t="shared" si="7"/>
        <v/>
      </c>
    </row>
    <row r="54" spans="1:10" ht="15" customHeight="1" x14ac:dyDescent="0.25">
      <c r="A54" s="93"/>
      <c r="B54" s="93"/>
      <c r="C54" s="97" t="str">
        <f t="shared" si="4"/>
        <v/>
      </c>
      <c r="D54" s="97" t="str">
        <f t="shared" si="5"/>
        <v/>
      </c>
      <c r="E54" s="93"/>
      <c r="F54" s="93"/>
      <c r="G54" s="93"/>
      <c r="H54" s="95" t="str">
        <f t="shared" si="6"/>
        <v/>
      </c>
      <c r="I54" s="93"/>
      <c r="J54" s="130" t="str">
        <f t="shared" si="7"/>
        <v/>
      </c>
    </row>
    <row r="55" spans="1:10" ht="15" customHeight="1" x14ac:dyDescent="0.25">
      <c r="A55" s="93"/>
      <c r="B55" s="93"/>
      <c r="C55" s="97" t="str">
        <f t="shared" si="4"/>
        <v/>
      </c>
      <c r="D55" s="97" t="str">
        <f t="shared" si="5"/>
        <v/>
      </c>
      <c r="E55" s="93"/>
      <c r="F55" s="93"/>
      <c r="G55" s="93"/>
      <c r="H55" s="95" t="str">
        <f t="shared" si="6"/>
        <v/>
      </c>
      <c r="I55" s="93"/>
      <c r="J55" s="130" t="str">
        <f t="shared" si="7"/>
        <v/>
      </c>
    </row>
    <row r="56" spans="1:10" ht="15" customHeight="1" x14ac:dyDescent="0.25">
      <c r="A56" s="93"/>
      <c r="B56" s="93"/>
      <c r="C56" s="97" t="str">
        <f t="shared" si="4"/>
        <v/>
      </c>
      <c r="D56" s="97" t="str">
        <f t="shared" si="5"/>
        <v/>
      </c>
      <c r="E56" s="93"/>
      <c r="F56" s="93"/>
      <c r="G56" s="93"/>
      <c r="H56" s="95" t="str">
        <f t="shared" si="6"/>
        <v/>
      </c>
      <c r="I56" s="93"/>
      <c r="J56" s="130" t="str">
        <f t="shared" si="7"/>
        <v/>
      </c>
    </row>
    <row r="57" spans="1:10" ht="15" customHeight="1" x14ac:dyDescent="0.25">
      <c r="A57" s="93"/>
      <c r="B57" s="93"/>
      <c r="C57" s="97" t="str">
        <f t="shared" si="4"/>
        <v/>
      </c>
      <c r="D57" s="97" t="str">
        <f t="shared" si="5"/>
        <v/>
      </c>
      <c r="E57" s="93"/>
      <c r="F57" s="93"/>
      <c r="G57" s="93"/>
      <c r="H57" s="95" t="str">
        <f t="shared" si="6"/>
        <v/>
      </c>
      <c r="I57" s="93"/>
      <c r="J57" s="130" t="str">
        <f t="shared" si="7"/>
        <v/>
      </c>
    </row>
    <row r="58" spans="1:10" ht="15" customHeight="1" x14ac:dyDescent="0.25">
      <c r="A58" s="93"/>
      <c r="B58" s="93"/>
      <c r="C58" s="97" t="str">
        <f t="shared" si="4"/>
        <v/>
      </c>
      <c r="D58" s="97" t="str">
        <f t="shared" si="5"/>
        <v/>
      </c>
      <c r="E58" s="93"/>
      <c r="F58" s="93"/>
      <c r="G58" s="93"/>
      <c r="H58" s="95" t="str">
        <f t="shared" si="6"/>
        <v/>
      </c>
      <c r="I58" s="93"/>
      <c r="J58" s="130" t="str">
        <f t="shared" si="7"/>
        <v/>
      </c>
    </row>
    <row r="59" spans="1:10" ht="15" customHeight="1" x14ac:dyDescent="0.25">
      <c r="A59" s="93"/>
      <c r="B59" s="93"/>
      <c r="C59" s="97" t="str">
        <f t="shared" si="4"/>
        <v/>
      </c>
      <c r="D59" s="97" t="str">
        <f t="shared" si="5"/>
        <v/>
      </c>
      <c r="E59" s="93"/>
      <c r="F59" s="93"/>
      <c r="G59" s="93"/>
      <c r="H59" s="95" t="str">
        <f t="shared" si="6"/>
        <v/>
      </c>
      <c r="I59" s="93"/>
      <c r="J59" s="130" t="str">
        <f t="shared" si="7"/>
        <v/>
      </c>
    </row>
    <row r="60" spans="1:10" ht="15" customHeight="1" x14ac:dyDescent="0.25">
      <c r="A60" s="93"/>
      <c r="B60" s="93"/>
      <c r="C60" s="97" t="str">
        <f t="shared" si="4"/>
        <v/>
      </c>
      <c r="D60" s="97" t="str">
        <f t="shared" si="5"/>
        <v/>
      </c>
      <c r="E60" s="93"/>
      <c r="F60" s="93"/>
      <c r="G60" s="93"/>
      <c r="H60" s="95" t="str">
        <f t="shared" si="6"/>
        <v/>
      </c>
      <c r="I60" s="93"/>
      <c r="J60" s="130" t="str">
        <f t="shared" si="7"/>
        <v/>
      </c>
    </row>
    <row r="61" spans="1:10" ht="15" customHeight="1" x14ac:dyDescent="0.25">
      <c r="A61" s="93"/>
      <c r="B61" s="93"/>
      <c r="C61" s="97" t="str">
        <f t="shared" si="4"/>
        <v/>
      </c>
      <c r="D61" s="97" t="str">
        <f t="shared" si="5"/>
        <v/>
      </c>
      <c r="E61" s="93"/>
      <c r="F61" s="93"/>
      <c r="G61" s="93"/>
      <c r="H61" s="95" t="str">
        <f t="shared" si="6"/>
        <v/>
      </c>
      <c r="I61" s="93"/>
      <c r="J61" s="130" t="str">
        <f t="shared" si="7"/>
        <v/>
      </c>
    </row>
    <row r="62" spans="1:10" ht="15" customHeight="1" x14ac:dyDescent="0.25">
      <c r="A62" s="93"/>
      <c r="B62" s="93"/>
      <c r="C62" s="97" t="str">
        <f t="shared" si="4"/>
        <v/>
      </c>
      <c r="D62" s="97" t="str">
        <f t="shared" si="5"/>
        <v/>
      </c>
      <c r="E62" s="93"/>
      <c r="F62" s="93"/>
      <c r="G62" s="93"/>
      <c r="H62" s="95" t="str">
        <f t="shared" si="6"/>
        <v/>
      </c>
      <c r="I62" s="93"/>
      <c r="J62" s="130" t="str">
        <f t="shared" si="7"/>
        <v/>
      </c>
    </row>
    <row r="63" spans="1:10" ht="15" customHeight="1" x14ac:dyDescent="0.25">
      <c r="A63" s="93"/>
      <c r="B63" s="93"/>
      <c r="C63" s="97" t="str">
        <f t="shared" si="4"/>
        <v/>
      </c>
      <c r="D63" s="97" t="str">
        <f t="shared" si="5"/>
        <v/>
      </c>
      <c r="E63" s="93"/>
      <c r="F63" s="93"/>
      <c r="G63" s="93"/>
      <c r="H63" s="95" t="str">
        <f t="shared" si="6"/>
        <v/>
      </c>
      <c r="I63" s="93"/>
      <c r="J63" s="130" t="str">
        <f t="shared" si="7"/>
        <v/>
      </c>
    </row>
    <row r="64" spans="1:10" ht="15" customHeight="1" x14ac:dyDescent="0.25">
      <c r="A64" s="93"/>
      <c r="B64" s="93"/>
      <c r="C64" s="97" t="str">
        <f t="shared" si="4"/>
        <v/>
      </c>
      <c r="D64" s="97" t="str">
        <f t="shared" si="5"/>
        <v/>
      </c>
      <c r="E64" s="93"/>
      <c r="F64" s="93"/>
      <c r="G64" s="93"/>
      <c r="H64" s="95" t="str">
        <f t="shared" si="6"/>
        <v/>
      </c>
      <c r="I64" s="93"/>
      <c r="J64" s="130" t="str">
        <f t="shared" si="7"/>
        <v/>
      </c>
    </row>
    <row r="65" spans="1:10" ht="15" customHeight="1" x14ac:dyDescent="0.25">
      <c r="A65" s="93"/>
      <c r="B65" s="93"/>
      <c r="C65" s="97" t="str">
        <f t="shared" si="4"/>
        <v/>
      </c>
      <c r="D65" s="97" t="str">
        <f t="shared" si="5"/>
        <v/>
      </c>
      <c r="E65" s="93"/>
      <c r="F65" s="93"/>
      <c r="G65" s="93"/>
      <c r="H65" s="95" t="str">
        <f t="shared" si="6"/>
        <v/>
      </c>
      <c r="I65" s="93"/>
      <c r="J65" s="130" t="str">
        <f t="shared" si="7"/>
        <v/>
      </c>
    </row>
    <row r="66" spans="1:10" ht="15" customHeight="1" x14ac:dyDescent="0.25">
      <c r="A66" s="93"/>
      <c r="B66" s="93"/>
      <c r="C66" s="97" t="str">
        <f t="shared" si="4"/>
        <v/>
      </c>
      <c r="D66" s="97" t="str">
        <f t="shared" si="5"/>
        <v/>
      </c>
      <c r="E66" s="93"/>
      <c r="F66" s="93"/>
      <c r="G66" s="93"/>
      <c r="H66" s="95" t="str">
        <f t="shared" si="6"/>
        <v/>
      </c>
      <c r="I66" s="93"/>
      <c r="J66" s="130" t="str">
        <f t="shared" si="7"/>
        <v/>
      </c>
    </row>
    <row r="67" spans="1:10" ht="15" customHeight="1" x14ac:dyDescent="0.25">
      <c r="A67" s="93"/>
      <c r="B67" s="93"/>
      <c r="C67" s="97" t="str">
        <f t="shared" ref="C67:C98" si="8">IFERROR(VLOOKUP(B67,Staff_Table,2,FALSE()),"")</f>
        <v/>
      </c>
      <c r="D67" s="97" t="str">
        <f t="shared" ref="D67:D98" si="9">IFERROR(VLOOKUP(B67,Staff_Table,4,FALSE()),"")</f>
        <v/>
      </c>
      <c r="E67" s="93"/>
      <c r="F67" s="93"/>
      <c r="G67" s="93"/>
      <c r="H67" s="95" t="str">
        <f t="shared" ref="H67:H98" si="10">IFERROR(VLOOKUP(B67,Staff_Table,7,FALSE()),"")</f>
        <v/>
      </c>
      <c r="I67" s="93"/>
      <c r="J67" s="130" t="str">
        <f t="shared" ref="J67:J98" si="11">IFERROR(IF(B67="","",(G67*H67)+(I67*H67*Rate_Overtime_Mult)),0)</f>
        <v/>
      </c>
    </row>
    <row r="68" spans="1:10" ht="15" customHeight="1" x14ac:dyDescent="0.25">
      <c r="A68" s="93"/>
      <c r="B68" s="93"/>
      <c r="C68" s="97" t="str">
        <f t="shared" si="8"/>
        <v/>
      </c>
      <c r="D68" s="97" t="str">
        <f t="shared" si="9"/>
        <v/>
      </c>
      <c r="E68" s="93"/>
      <c r="F68" s="93"/>
      <c r="G68" s="93"/>
      <c r="H68" s="95" t="str">
        <f t="shared" si="10"/>
        <v/>
      </c>
      <c r="I68" s="93"/>
      <c r="J68" s="130" t="str">
        <f t="shared" si="11"/>
        <v/>
      </c>
    </row>
    <row r="69" spans="1:10" ht="15" customHeight="1" x14ac:dyDescent="0.25">
      <c r="A69" s="93"/>
      <c r="B69" s="93"/>
      <c r="C69" s="97" t="str">
        <f t="shared" si="8"/>
        <v/>
      </c>
      <c r="D69" s="97" t="str">
        <f t="shared" si="9"/>
        <v/>
      </c>
      <c r="E69" s="93"/>
      <c r="F69" s="93"/>
      <c r="G69" s="93"/>
      <c r="H69" s="95" t="str">
        <f t="shared" si="10"/>
        <v/>
      </c>
      <c r="I69" s="93"/>
      <c r="J69" s="130" t="str">
        <f t="shared" si="11"/>
        <v/>
      </c>
    </row>
    <row r="70" spans="1:10" ht="15" customHeight="1" x14ac:dyDescent="0.25">
      <c r="A70" s="93"/>
      <c r="B70" s="93"/>
      <c r="C70" s="97" t="str">
        <f t="shared" si="8"/>
        <v/>
      </c>
      <c r="D70" s="97" t="str">
        <f t="shared" si="9"/>
        <v/>
      </c>
      <c r="E70" s="93"/>
      <c r="F70" s="93"/>
      <c r="G70" s="93"/>
      <c r="H70" s="95" t="str">
        <f t="shared" si="10"/>
        <v/>
      </c>
      <c r="I70" s="93"/>
      <c r="J70" s="130" t="str">
        <f t="shared" si="11"/>
        <v/>
      </c>
    </row>
    <row r="71" spans="1:10" ht="15" customHeight="1" x14ac:dyDescent="0.25">
      <c r="A71" s="93"/>
      <c r="B71" s="93"/>
      <c r="C71" s="97" t="str">
        <f t="shared" si="8"/>
        <v/>
      </c>
      <c r="D71" s="97" t="str">
        <f t="shared" si="9"/>
        <v/>
      </c>
      <c r="E71" s="93"/>
      <c r="F71" s="93"/>
      <c r="G71" s="93"/>
      <c r="H71" s="95" t="str">
        <f t="shared" si="10"/>
        <v/>
      </c>
      <c r="I71" s="93"/>
      <c r="J71" s="130" t="str">
        <f t="shared" si="11"/>
        <v/>
      </c>
    </row>
    <row r="72" spans="1:10" ht="15" customHeight="1" x14ac:dyDescent="0.25">
      <c r="A72" s="93"/>
      <c r="B72" s="93"/>
      <c r="C72" s="97" t="str">
        <f t="shared" si="8"/>
        <v/>
      </c>
      <c r="D72" s="97" t="str">
        <f t="shared" si="9"/>
        <v/>
      </c>
      <c r="E72" s="93"/>
      <c r="F72" s="93"/>
      <c r="G72" s="93"/>
      <c r="H72" s="95" t="str">
        <f t="shared" si="10"/>
        <v/>
      </c>
      <c r="I72" s="93"/>
      <c r="J72" s="130" t="str">
        <f t="shared" si="11"/>
        <v/>
      </c>
    </row>
    <row r="73" spans="1:10" ht="15" customHeight="1" x14ac:dyDescent="0.25">
      <c r="A73" s="93"/>
      <c r="B73" s="93"/>
      <c r="C73" s="97" t="str">
        <f t="shared" si="8"/>
        <v/>
      </c>
      <c r="D73" s="97" t="str">
        <f t="shared" si="9"/>
        <v/>
      </c>
      <c r="E73" s="93"/>
      <c r="F73" s="93"/>
      <c r="G73" s="93"/>
      <c r="H73" s="95" t="str">
        <f t="shared" si="10"/>
        <v/>
      </c>
      <c r="I73" s="93"/>
      <c r="J73" s="130" t="str">
        <f t="shared" si="11"/>
        <v/>
      </c>
    </row>
    <row r="74" spans="1:10" ht="15" customHeight="1" x14ac:dyDescent="0.25">
      <c r="A74" s="93"/>
      <c r="B74" s="93"/>
      <c r="C74" s="97" t="str">
        <f t="shared" si="8"/>
        <v/>
      </c>
      <c r="D74" s="97" t="str">
        <f t="shared" si="9"/>
        <v/>
      </c>
      <c r="E74" s="93"/>
      <c r="F74" s="93"/>
      <c r="G74" s="93"/>
      <c r="H74" s="95" t="str">
        <f t="shared" si="10"/>
        <v/>
      </c>
      <c r="I74" s="93"/>
      <c r="J74" s="130" t="str">
        <f t="shared" si="11"/>
        <v/>
      </c>
    </row>
    <row r="75" spans="1:10" ht="15" customHeight="1" x14ac:dyDescent="0.25">
      <c r="A75" s="93"/>
      <c r="B75" s="93"/>
      <c r="C75" s="97" t="str">
        <f t="shared" si="8"/>
        <v/>
      </c>
      <c r="D75" s="97" t="str">
        <f t="shared" si="9"/>
        <v/>
      </c>
      <c r="E75" s="93"/>
      <c r="F75" s="93"/>
      <c r="G75" s="93"/>
      <c r="H75" s="95" t="str">
        <f t="shared" si="10"/>
        <v/>
      </c>
      <c r="I75" s="93"/>
      <c r="J75" s="130" t="str">
        <f t="shared" si="11"/>
        <v/>
      </c>
    </row>
    <row r="76" spans="1:10" ht="15" customHeight="1" x14ac:dyDescent="0.25">
      <c r="A76" s="93"/>
      <c r="B76" s="93"/>
      <c r="C76" s="97" t="str">
        <f t="shared" si="8"/>
        <v/>
      </c>
      <c r="D76" s="97" t="str">
        <f t="shared" si="9"/>
        <v/>
      </c>
      <c r="E76" s="93"/>
      <c r="F76" s="93"/>
      <c r="G76" s="93"/>
      <c r="H76" s="95" t="str">
        <f t="shared" si="10"/>
        <v/>
      </c>
      <c r="I76" s="93"/>
      <c r="J76" s="130" t="str">
        <f t="shared" si="11"/>
        <v/>
      </c>
    </row>
    <row r="77" spans="1:10" ht="15" customHeight="1" x14ac:dyDescent="0.25">
      <c r="A77" s="93"/>
      <c r="B77" s="93"/>
      <c r="C77" s="97" t="str">
        <f t="shared" si="8"/>
        <v/>
      </c>
      <c r="D77" s="97" t="str">
        <f t="shared" si="9"/>
        <v/>
      </c>
      <c r="E77" s="93"/>
      <c r="F77" s="93"/>
      <c r="G77" s="93"/>
      <c r="H77" s="95" t="str">
        <f t="shared" si="10"/>
        <v/>
      </c>
      <c r="I77" s="93"/>
      <c r="J77" s="130" t="str">
        <f t="shared" si="11"/>
        <v/>
      </c>
    </row>
    <row r="78" spans="1:10" ht="15" customHeight="1" x14ac:dyDescent="0.25">
      <c r="A78" s="93"/>
      <c r="B78" s="93"/>
      <c r="C78" s="97" t="str">
        <f t="shared" si="8"/>
        <v/>
      </c>
      <c r="D78" s="97" t="str">
        <f t="shared" si="9"/>
        <v/>
      </c>
      <c r="E78" s="93"/>
      <c r="F78" s="93"/>
      <c r="G78" s="93"/>
      <c r="H78" s="95" t="str">
        <f t="shared" si="10"/>
        <v/>
      </c>
      <c r="I78" s="93"/>
      <c r="J78" s="130" t="str">
        <f t="shared" si="11"/>
        <v/>
      </c>
    </row>
    <row r="79" spans="1:10" ht="15" customHeight="1" x14ac:dyDescent="0.25">
      <c r="A79" s="93"/>
      <c r="B79" s="93"/>
      <c r="C79" s="97" t="str">
        <f t="shared" si="8"/>
        <v/>
      </c>
      <c r="D79" s="97" t="str">
        <f t="shared" si="9"/>
        <v/>
      </c>
      <c r="E79" s="93"/>
      <c r="F79" s="93"/>
      <c r="G79" s="93"/>
      <c r="H79" s="95" t="str">
        <f t="shared" si="10"/>
        <v/>
      </c>
      <c r="I79" s="93"/>
      <c r="J79" s="130" t="str">
        <f t="shared" si="11"/>
        <v/>
      </c>
    </row>
    <row r="80" spans="1:10" ht="15" customHeight="1" x14ac:dyDescent="0.25">
      <c r="A80" s="93"/>
      <c r="B80" s="93"/>
      <c r="C80" s="97" t="str">
        <f t="shared" si="8"/>
        <v/>
      </c>
      <c r="D80" s="97" t="str">
        <f t="shared" si="9"/>
        <v/>
      </c>
      <c r="E80" s="93"/>
      <c r="F80" s="93"/>
      <c r="G80" s="93"/>
      <c r="H80" s="95" t="str">
        <f t="shared" si="10"/>
        <v/>
      </c>
      <c r="I80" s="93"/>
      <c r="J80" s="130" t="str">
        <f t="shared" si="11"/>
        <v/>
      </c>
    </row>
    <row r="81" spans="1:10" ht="15" customHeight="1" x14ac:dyDescent="0.25">
      <c r="A81" s="93"/>
      <c r="B81" s="93"/>
      <c r="C81" s="97" t="str">
        <f t="shared" si="8"/>
        <v/>
      </c>
      <c r="D81" s="97" t="str">
        <f t="shared" si="9"/>
        <v/>
      </c>
      <c r="E81" s="93"/>
      <c r="F81" s="93"/>
      <c r="G81" s="93"/>
      <c r="H81" s="95" t="str">
        <f t="shared" si="10"/>
        <v/>
      </c>
      <c r="I81" s="93"/>
      <c r="J81" s="130" t="str">
        <f t="shared" si="11"/>
        <v/>
      </c>
    </row>
    <row r="82" spans="1:10" ht="15" customHeight="1" x14ac:dyDescent="0.25">
      <c r="A82" s="93"/>
      <c r="B82" s="93"/>
      <c r="C82" s="97" t="str">
        <f t="shared" si="8"/>
        <v/>
      </c>
      <c r="D82" s="97" t="str">
        <f t="shared" si="9"/>
        <v/>
      </c>
      <c r="E82" s="93"/>
      <c r="F82" s="93"/>
      <c r="G82" s="93"/>
      <c r="H82" s="95" t="str">
        <f t="shared" si="10"/>
        <v/>
      </c>
      <c r="I82" s="93"/>
      <c r="J82" s="130" t="str">
        <f t="shared" si="11"/>
        <v/>
      </c>
    </row>
    <row r="83" spans="1:10" ht="15" customHeight="1" x14ac:dyDescent="0.25">
      <c r="A83" s="93"/>
      <c r="B83" s="93"/>
      <c r="C83" s="97" t="str">
        <f t="shared" si="8"/>
        <v/>
      </c>
      <c r="D83" s="97" t="str">
        <f t="shared" si="9"/>
        <v/>
      </c>
      <c r="E83" s="93"/>
      <c r="F83" s="93"/>
      <c r="G83" s="93"/>
      <c r="H83" s="95" t="str">
        <f t="shared" si="10"/>
        <v/>
      </c>
      <c r="I83" s="93"/>
      <c r="J83" s="130" t="str">
        <f t="shared" si="11"/>
        <v/>
      </c>
    </row>
    <row r="84" spans="1:10" ht="15" customHeight="1" x14ac:dyDescent="0.25">
      <c r="A84" s="93"/>
      <c r="B84" s="93"/>
      <c r="C84" s="97" t="str">
        <f t="shared" si="8"/>
        <v/>
      </c>
      <c r="D84" s="97" t="str">
        <f t="shared" si="9"/>
        <v/>
      </c>
      <c r="E84" s="93"/>
      <c r="F84" s="93"/>
      <c r="G84" s="93"/>
      <c r="H84" s="95" t="str">
        <f t="shared" si="10"/>
        <v/>
      </c>
      <c r="I84" s="93"/>
      <c r="J84" s="130" t="str">
        <f t="shared" si="11"/>
        <v/>
      </c>
    </row>
    <row r="85" spans="1:10" ht="15" customHeight="1" x14ac:dyDescent="0.25">
      <c r="A85" s="93"/>
      <c r="B85" s="93"/>
      <c r="C85" s="97" t="str">
        <f t="shared" si="8"/>
        <v/>
      </c>
      <c r="D85" s="97" t="str">
        <f t="shared" si="9"/>
        <v/>
      </c>
      <c r="E85" s="93"/>
      <c r="F85" s="93"/>
      <c r="G85" s="93"/>
      <c r="H85" s="95" t="str">
        <f t="shared" si="10"/>
        <v/>
      </c>
      <c r="I85" s="93"/>
      <c r="J85" s="130" t="str">
        <f t="shared" si="11"/>
        <v/>
      </c>
    </row>
    <row r="86" spans="1:10" ht="15" customHeight="1" x14ac:dyDescent="0.25">
      <c r="A86" s="93"/>
      <c r="B86" s="93"/>
      <c r="C86" s="97" t="str">
        <f t="shared" si="8"/>
        <v/>
      </c>
      <c r="D86" s="97" t="str">
        <f t="shared" si="9"/>
        <v/>
      </c>
      <c r="E86" s="93"/>
      <c r="F86" s="93"/>
      <c r="G86" s="93"/>
      <c r="H86" s="95" t="str">
        <f t="shared" si="10"/>
        <v/>
      </c>
      <c r="I86" s="93"/>
      <c r="J86" s="130" t="str">
        <f t="shared" si="11"/>
        <v/>
      </c>
    </row>
    <row r="87" spans="1:10" ht="15" customHeight="1" x14ac:dyDescent="0.25">
      <c r="A87" s="93"/>
      <c r="B87" s="93"/>
      <c r="C87" s="97" t="str">
        <f t="shared" si="8"/>
        <v/>
      </c>
      <c r="D87" s="97" t="str">
        <f t="shared" si="9"/>
        <v/>
      </c>
      <c r="E87" s="93"/>
      <c r="F87" s="93"/>
      <c r="G87" s="93"/>
      <c r="H87" s="95" t="str">
        <f t="shared" si="10"/>
        <v/>
      </c>
      <c r="I87" s="93"/>
      <c r="J87" s="130" t="str">
        <f t="shared" si="11"/>
        <v/>
      </c>
    </row>
    <row r="88" spans="1:10" ht="15" customHeight="1" x14ac:dyDescent="0.25">
      <c r="A88" s="93"/>
      <c r="B88" s="93"/>
      <c r="C88" s="97" t="str">
        <f t="shared" si="8"/>
        <v/>
      </c>
      <c r="D88" s="97" t="str">
        <f t="shared" si="9"/>
        <v/>
      </c>
      <c r="E88" s="93"/>
      <c r="F88" s="93"/>
      <c r="G88" s="93"/>
      <c r="H88" s="95" t="str">
        <f t="shared" si="10"/>
        <v/>
      </c>
      <c r="I88" s="93"/>
      <c r="J88" s="130" t="str">
        <f t="shared" si="11"/>
        <v/>
      </c>
    </row>
    <row r="89" spans="1:10" ht="15" customHeight="1" x14ac:dyDescent="0.25">
      <c r="A89" s="93"/>
      <c r="B89" s="93"/>
      <c r="C89" s="97" t="str">
        <f t="shared" si="8"/>
        <v/>
      </c>
      <c r="D89" s="97" t="str">
        <f t="shared" si="9"/>
        <v/>
      </c>
      <c r="E89" s="93"/>
      <c r="F89" s="93"/>
      <c r="G89" s="93"/>
      <c r="H89" s="95" t="str">
        <f t="shared" si="10"/>
        <v/>
      </c>
      <c r="I89" s="93"/>
      <c r="J89" s="130" t="str">
        <f t="shared" si="11"/>
        <v/>
      </c>
    </row>
    <row r="90" spans="1:10" ht="15" customHeight="1" x14ac:dyDescent="0.25">
      <c r="A90" s="93"/>
      <c r="B90" s="93"/>
      <c r="C90" s="97" t="str">
        <f t="shared" si="8"/>
        <v/>
      </c>
      <c r="D90" s="97" t="str">
        <f t="shared" si="9"/>
        <v/>
      </c>
      <c r="E90" s="93"/>
      <c r="F90" s="93"/>
      <c r="G90" s="93"/>
      <c r="H90" s="95" t="str">
        <f t="shared" si="10"/>
        <v/>
      </c>
      <c r="I90" s="93"/>
      <c r="J90" s="130" t="str">
        <f t="shared" si="11"/>
        <v/>
      </c>
    </row>
    <row r="91" spans="1:10" ht="15" customHeight="1" x14ac:dyDescent="0.25">
      <c r="A91" s="93"/>
      <c r="B91" s="93"/>
      <c r="C91" s="97" t="str">
        <f t="shared" si="8"/>
        <v/>
      </c>
      <c r="D91" s="97" t="str">
        <f t="shared" si="9"/>
        <v/>
      </c>
      <c r="E91" s="93"/>
      <c r="F91" s="93"/>
      <c r="G91" s="93"/>
      <c r="H91" s="95" t="str">
        <f t="shared" si="10"/>
        <v/>
      </c>
      <c r="I91" s="93"/>
      <c r="J91" s="130" t="str">
        <f t="shared" si="11"/>
        <v/>
      </c>
    </row>
    <row r="92" spans="1:10" ht="15" customHeight="1" x14ac:dyDescent="0.25">
      <c r="A92" s="93"/>
      <c r="B92" s="93"/>
      <c r="C92" s="97" t="str">
        <f t="shared" si="8"/>
        <v/>
      </c>
      <c r="D92" s="97" t="str">
        <f t="shared" si="9"/>
        <v/>
      </c>
      <c r="E92" s="93"/>
      <c r="F92" s="93"/>
      <c r="G92" s="93"/>
      <c r="H92" s="95" t="str">
        <f t="shared" si="10"/>
        <v/>
      </c>
      <c r="I92" s="93"/>
      <c r="J92" s="130" t="str">
        <f t="shared" si="11"/>
        <v/>
      </c>
    </row>
    <row r="93" spans="1:10" ht="15" customHeight="1" x14ac:dyDescent="0.25">
      <c r="A93" s="93"/>
      <c r="B93" s="93"/>
      <c r="C93" s="97" t="str">
        <f t="shared" si="8"/>
        <v/>
      </c>
      <c r="D93" s="97" t="str">
        <f t="shared" si="9"/>
        <v/>
      </c>
      <c r="E93" s="93"/>
      <c r="F93" s="93"/>
      <c r="G93" s="93"/>
      <c r="H93" s="95" t="str">
        <f t="shared" si="10"/>
        <v/>
      </c>
      <c r="I93" s="93"/>
      <c r="J93" s="130" t="str">
        <f t="shared" si="11"/>
        <v/>
      </c>
    </row>
    <row r="94" spans="1:10" ht="15" customHeight="1" x14ac:dyDescent="0.25">
      <c r="A94" s="93"/>
      <c r="B94" s="93"/>
      <c r="C94" s="97" t="str">
        <f t="shared" si="8"/>
        <v/>
      </c>
      <c r="D94" s="97" t="str">
        <f t="shared" si="9"/>
        <v/>
      </c>
      <c r="E94" s="93"/>
      <c r="F94" s="93"/>
      <c r="G94" s="93"/>
      <c r="H94" s="95" t="str">
        <f t="shared" si="10"/>
        <v/>
      </c>
      <c r="I94" s="93"/>
      <c r="J94" s="130" t="str">
        <f t="shared" si="11"/>
        <v/>
      </c>
    </row>
    <row r="95" spans="1:10" ht="15" customHeight="1" x14ac:dyDescent="0.25">
      <c r="A95" s="93"/>
      <c r="B95" s="93"/>
      <c r="C95" s="97" t="str">
        <f t="shared" si="8"/>
        <v/>
      </c>
      <c r="D95" s="97" t="str">
        <f t="shared" si="9"/>
        <v/>
      </c>
      <c r="E95" s="93"/>
      <c r="F95" s="93"/>
      <c r="G95" s="93"/>
      <c r="H95" s="95" t="str">
        <f t="shared" si="10"/>
        <v/>
      </c>
      <c r="I95" s="93"/>
      <c r="J95" s="130" t="str">
        <f t="shared" si="11"/>
        <v/>
      </c>
    </row>
    <row r="96" spans="1:10" ht="15" customHeight="1" x14ac:dyDescent="0.25">
      <c r="A96" s="93"/>
      <c r="B96" s="93"/>
      <c r="C96" s="97" t="str">
        <f t="shared" si="8"/>
        <v/>
      </c>
      <c r="D96" s="97" t="str">
        <f t="shared" si="9"/>
        <v/>
      </c>
      <c r="E96" s="93"/>
      <c r="F96" s="93"/>
      <c r="G96" s="93"/>
      <c r="H96" s="95" t="str">
        <f t="shared" si="10"/>
        <v/>
      </c>
      <c r="I96" s="93"/>
      <c r="J96" s="130" t="str">
        <f t="shared" si="11"/>
        <v/>
      </c>
    </row>
    <row r="97" spans="1:10" ht="15" customHeight="1" x14ac:dyDescent="0.25">
      <c r="A97" s="93"/>
      <c r="B97" s="93"/>
      <c r="C97" s="97" t="str">
        <f t="shared" si="8"/>
        <v/>
      </c>
      <c r="D97" s="97" t="str">
        <f t="shared" si="9"/>
        <v/>
      </c>
      <c r="E97" s="93"/>
      <c r="F97" s="93"/>
      <c r="G97" s="93"/>
      <c r="H97" s="95" t="str">
        <f t="shared" si="10"/>
        <v/>
      </c>
      <c r="I97" s="93"/>
      <c r="J97" s="130" t="str">
        <f t="shared" si="11"/>
        <v/>
      </c>
    </row>
    <row r="98" spans="1:10" ht="15" customHeight="1" x14ac:dyDescent="0.25">
      <c r="A98" s="93"/>
      <c r="B98" s="93"/>
      <c r="C98" s="97" t="str">
        <f t="shared" si="8"/>
        <v/>
      </c>
      <c r="D98" s="97" t="str">
        <f t="shared" si="9"/>
        <v/>
      </c>
      <c r="E98" s="93"/>
      <c r="F98" s="93"/>
      <c r="G98" s="93"/>
      <c r="H98" s="95" t="str">
        <f t="shared" si="10"/>
        <v/>
      </c>
      <c r="I98" s="93"/>
      <c r="J98" s="130" t="str">
        <f t="shared" si="11"/>
        <v/>
      </c>
    </row>
    <row r="99" spans="1:10" ht="15" customHeight="1" x14ac:dyDescent="0.25">
      <c r="A99" s="93"/>
      <c r="B99" s="93"/>
      <c r="C99" s="97" t="str">
        <f t="shared" ref="C99:C130" si="12">IFERROR(VLOOKUP(B99,Staff_Table,2,FALSE()),"")</f>
        <v/>
      </c>
      <c r="D99" s="97" t="str">
        <f t="shared" ref="D99:D130" si="13">IFERROR(VLOOKUP(B99,Staff_Table,4,FALSE()),"")</f>
        <v/>
      </c>
      <c r="E99" s="93"/>
      <c r="F99" s="93"/>
      <c r="G99" s="93"/>
      <c r="H99" s="95" t="str">
        <f t="shared" ref="H99:H130" si="14">IFERROR(VLOOKUP(B99,Staff_Table,7,FALSE()),"")</f>
        <v/>
      </c>
      <c r="I99" s="93"/>
      <c r="J99" s="130" t="str">
        <f t="shared" ref="J99:J130" si="15">IFERROR(IF(B99="","",(G99*H99)+(I99*H99*Rate_Overtime_Mult)),0)</f>
        <v/>
      </c>
    </row>
    <row r="100" spans="1:10" ht="15" customHeight="1" x14ac:dyDescent="0.25">
      <c r="A100" s="93"/>
      <c r="B100" s="93"/>
      <c r="C100" s="97" t="str">
        <f t="shared" si="12"/>
        <v/>
      </c>
      <c r="D100" s="97" t="str">
        <f t="shared" si="13"/>
        <v/>
      </c>
      <c r="E100" s="93"/>
      <c r="F100" s="93"/>
      <c r="G100" s="93"/>
      <c r="H100" s="95" t="str">
        <f t="shared" si="14"/>
        <v/>
      </c>
      <c r="I100" s="93"/>
      <c r="J100" s="130" t="str">
        <f t="shared" si="15"/>
        <v/>
      </c>
    </row>
    <row r="101" spans="1:10" ht="15" customHeight="1" x14ac:dyDescent="0.25">
      <c r="A101" s="93"/>
      <c r="B101" s="93"/>
      <c r="C101" s="97" t="str">
        <f t="shared" si="12"/>
        <v/>
      </c>
      <c r="D101" s="97" t="str">
        <f t="shared" si="13"/>
        <v/>
      </c>
      <c r="E101" s="93"/>
      <c r="F101" s="93"/>
      <c r="G101" s="93"/>
      <c r="H101" s="95" t="str">
        <f t="shared" si="14"/>
        <v/>
      </c>
      <c r="I101" s="93"/>
      <c r="J101" s="130" t="str">
        <f t="shared" si="15"/>
        <v/>
      </c>
    </row>
    <row r="102" spans="1:10" ht="15" customHeight="1" x14ac:dyDescent="0.25">
      <c r="A102" s="93"/>
      <c r="B102" s="93"/>
      <c r="C102" s="97" t="str">
        <f t="shared" si="12"/>
        <v/>
      </c>
      <c r="D102" s="97" t="str">
        <f t="shared" si="13"/>
        <v/>
      </c>
      <c r="E102" s="93"/>
      <c r="F102" s="93"/>
      <c r="G102" s="93"/>
      <c r="H102" s="95" t="str">
        <f t="shared" si="14"/>
        <v/>
      </c>
      <c r="I102" s="93"/>
      <c r="J102" s="130" t="str">
        <f t="shared" si="15"/>
        <v/>
      </c>
    </row>
    <row r="103" spans="1:10" ht="15" customHeight="1" x14ac:dyDescent="0.25">
      <c r="A103" s="93"/>
      <c r="B103" s="93"/>
      <c r="C103" s="97" t="str">
        <f t="shared" si="12"/>
        <v/>
      </c>
      <c r="D103" s="97" t="str">
        <f t="shared" si="13"/>
        <v/>
      </c>
      <c r="E103" s="93"/>
      <c r="F103" s="93"/>
      <c r="G103" s="93"/>
      <c r="H103" s="95" t="str">
        <f t="shared" si="14"/>
        <v/>
      </c>
      <c r="I103" s="93"/>
      <c r="J103" s="130" t="str">
        <f t="shared" si="15"/>
        <v/>
      </c>
    </row>
    <row r="104" spans="1:10" ht="15" customHeight="1" x14ac:dyDescent="0.25">
      <c r="A104" s="93"/>
      <c r="B104" s="93"/>
      <c r="C104" s="97" t="str">
        <f t="shared" si="12"/>
        <v/>
      </c>
      <c r="D104" s="97" t="str">
        <f t="shared" si="13"/>
        <v/>
      </c>
      <c r="E104" s="93"/>
      <c r="F104" s="93"/>
      <c r="G104" s="93"/>
      <c r="H104" s="95" t="str">
        <f t="shared" si="14"/>
        <v/>
      </c>
      <c r="I104" s="93"/>
      <c r="J104" s="130" t="str">
        <f t="shared" si="15"/>
        <v/>
      </c>
    </row>
    <row r="105" spans="1:10" ht="15" customHeight="1" x14ac:dyDescent="0.25">
      <c r="A105" s="93"/>
      <c r="B105" s="93"/>
      <c r="C105" s="97" t="str">
        <f t="shared" si="12"/>
        <v/>
      </c>
      <c r="D105" s="97" t="str">
        <f t="shared" si="13"/>
        <v/>
      </c>
      <c r="E105" s="93"/>
      <c r="F105" s="93"/>
      <c r="G105" s="93"/>
      <c r="H105" s="95" t="str">
        <f t="shared" si="14"/>
        <v/>
      </c>
      <c r="I105" s="93"/>
      <c r="J105" s="130" t="str">
        <f t="shared" si="15"/>
        <v/>
      </c>
    </row>
    <row r="106" spans="1:10" ht="15" customHeight="1" x14ac:dyDescent="0.25">
      <c r="A106" s="93"/>
      <c r="B106" s="93"/>
      <c r="C106" s="97" t="str">
        <f t="shared" si="12"/>
        <v/>
      </c>
      <c r="D106" s="97" t="str">
        <f t="shared" si="13"/>
        <v/>
      </c>
      <c r="E106" s="93"/>
      <c r="F106" s="93"/>
      <c r="G106" s="93"/>
      <c r="H106" s="95" t="str">
        <f t="shared" si="14"/>
        <v/>
      </c>
      <c r="I106" s="93"/>
      <c r="J106" s="130" t="str">
        <f t="shared" si="15"/>
        <v/>
      </c>
    </row>
    <row r="107" spans="1:10" ht="15" customHeight="1" x14ac:dyDescent="0.25">
      <c r="A107" s="93"/>
      <c r="B107" s="93"/>
      <c r="C107" s="97" t="str">
        <f t="shared" si="12"/>
        <v/>
      </c>
      <c r="D107" s="97" t="str">
        <f t="shared" si="13"/>
        <v/>
      </c>
      <c r="E107" s="93"/>
      <c r="F107" s="93"/>
      <c r="G107" s="93"/>
      <c r="H107" s="95" t="str">
        <f t="shared" si="14"/>
        <v/>
      </c>
      <c r="I107" s="93"/>
      <c r="J107" s="130" t="str">
        <f t="shared" si="15"/>
        <v/>
      </c>
    </row>
    <row r="108" spans="1:10" ht="15" customHeight="1" x14ac:dyDescent="0.25">
      <c r="A108" s="93"/>
      <c r="B108" s="93"/>
      <c r="C108" s="97" t="str">
        <f t="shared" si="12"/>
        <v/>
      </c>
      <c r="D108" s="97" t="str">
        <f t="shared" si="13"/>
        <v/>
      </c>
      <c r="E108" s="93"/>
      <c r="F108" s="93"/>
      <c r="G108" s="93"/>
      <c r="H108" s="95" t="str">
        <f t="shared" si="14"/>
        <v/>
      </c>
      <c r="I108" s="93"/>
      <c r="J108" s="130" t="str">
        <f t="shared" si="15"/>
        <v/>
      </c>
    </row>
    <row r="109" spans="1:10" ht="15" customHeight="1" x14ac:dyDescent="0.25">
      <c r="A109" s="93"/>
      <c r="B109" s="93"/>
      <c r="C109" s="97" t="str">
        <f t="shared" si="12"/>
        <v/>
      </c>
      <c r="D109" s="97" t="str">
        <f t="shared" si="13"/>
        <v/>
      </c>
      <c r="E109" s="93"/>
      <c r="F109" s="93"/>
      <c r="G109" s="93"/>
      <c r="H109" s="95" t="str">
        <f t="shared" si="14"/>
        <v/>
      </c>
      <c r="I109" s="93"/>
      <c r="J109" s="130" t="str">
        <f t="shared" si="15"/>
        <v/>
      </c>
    </row>
    <row r="110" spans="1:10" ht="15" customHeight="1" x14ac:dyDescent="0.25">
      <c r="A110" s="93"/>
      <c r="B110" s="93"/>
      <c r="C110" s="97" t="str">
        <f t="shared" si="12"/>
        <v/>
      </c>
      <c r="D110" s="97" t="str">
        <f t="shared" si="13"/>
        <v/>
      </c>
      <c r="E110" s="93"/>
      <c r="F110" s="93"/>
      <c r="G110" s="93"/>
      <c r="H110" s="95" t="str">
        <f t="shared" si="14"/>
        <v/>
      </c>
      <c r="I110" s="93"/>
      <c r="J110" s="130" t="str">
        <f t="shared" si="15"/>
        <v/>
      </c>
    </row>
    <row r="111" spans="1:10" ht="15" customHeight="1" x14ac:dyDescent="0.25">
      <c r="A111" s="93"/>
      <c r="B111" s="93"/>
      <c r="C111" s="97" t="str">
        <f t="shared" si="12"/>
        <v/>
      </c>
      <c r="D111" s="97" t="str">
        <f t="shared" si="13"/>
        <v/>
      </c>
      <c r="E111" s="93"/>
      <c r="F111" s="93"/>
      <c r="G111" s="93"/>
      <c r="H111" s="95" t="str">
        <f t="shared" si="14"/>
        <v/>
      </c>
      <c r="I111" s="93"/>
      <c r="J111" s="130" t="str">
        <f t="shared" si="15"/>
        <v/>
      </c>
    </row>
    <row r="112" spans="1:10" ht="15" customHeight="1" x14ac:dyDescent="0.25">
      <c r="A112" s="93"/>
      <c r="B112" s="93"/>
      <c r="C112" s="97" t="str">
        <f t="shared" si="12"/>
        <v/>
      </c>
      <c r="D112" s="97" t="str">
        <f t="shared" si="13"/>
        <v/>
      </c>
      <c r="E112" s="93"/>
      <c r="F112" s="93"/>
      <c r="G112" s="93"/>
      <c r="H112" s="95" t="str">
        <f t="shared" si="14"/>
        <v/>
      </c>
      <c r="I112" s="93"/>
      <c r="J112" s="130" t="str">
        <f t="shared" si="15"/>
        <v/>
      </c>
    </row>
    <row r="113" spans="1:10" ht="15" customHeight="1" x14ac:dyDescent="0.25">
      <c r="A113" s="93"/>
      <c r="B113" s="93"/>
      <c r="C113" s="97" t="str">
        <f t="shared" si="12"/>
        <v/>
      </c>
      <c r="D113" s="97" t="str">
        <f t="shared" si="13"/>
        <v/>
      </c>
      <c r="E113" s="93"/>
      <c r="F113" s="93"/>
      <c r="G113" s="93"/>
      <c r="H113" s="95" t="str">
        <f t="shared" si="14"/>
        <v/>
      </c>
      <c r="I113" s="93"/>
      <c r="J113" s="130" t="str">
        <f t="shared" si="15"/>
        <v/>
      </c>
    </row>
    <row r="114" spans="1:10" ht="15" customHeight="1" x14ac:dyDescent="0.25">
      <c r="A114" s="93"/>
      <c r="B114" s="93"/>
      <c r="C114" s="97" t="str">
        <f t="shared" si="12"/>
        <v/>
      </c>
      <c r="D114" s="97" t="str">
        <f t="shared" si="13"/>
        <v/>
      </c>
      <c r="E114" s="93"/>
      <c r="F114" s="93"/>
      <c r="G114" s="93"/>
      <c r="H114" s="95" t="str">
        <f t="shared" si="14"/>
        <v/>
      </c>
      <c r="I114" s="93"/>
      <c r="J114" s="130" t="str">
        <f t="shared" si="15"/>
        <v/>
      </c>
    </row>
    <row r="115" spans="1:10" ht="15" customHeight="1" x14ac:dyDescent="0.25">
      <c r="A115" s="93"/>
      <c r="B115" s="93"/>
      <c r="C115" s="97" t="str">
        <f t="shared" si="12"/>
        <v/>
      </c>
      <c r="D115" s="97" t="str">
        <f t="shared" si="13"/>
        <v/>
      </c>
      <c r="E115" s="93"/>
      <c r="F115" s="93"/>
      <c r="G115" s="93"/>
      <c r="H115" s="95" t="str">
        <f t="shared" si="14"/>
        <v/>
      </c>
      <c r="I115" s="93"/>
      <c r="J115" s="130" t="str">
        <f t="shared" si="15"/>
        <v/>
      </c>
    </row>
    <row r="116" spans="1:10" ht="15" customHeight="1" x14ac:dyDescent="0.25">
      <c r="A116" s="93"/>
      <c r="B116" s="93"/>
      <c r="C116" s="97" t="str">
        <f t="shared" si="12"/>
        <v/>
      </c>
      <c r="D116" s="97" t="str">
        <f t="shared" si="13"/>
        <v/>
      </c>
      <c r="E116" s="93"/>
      <c r="F116" s="93"/>
      <c r="G116" s="93"/>
      <c r="H116" s="95" t="str">
        <f t="shared" si="14"/>
        <v/>
      </c>
      <c r="I116" s="93"/>
      <c r="J116" s="130" t="str">
        <f t="shared" si="15"/>
        <v/>
      </c>
    </row>
    <row r="117" spans="1:10" ht="15" customHeight="1" x14ac:dyDescent="0.25">
      <c r="A117" s="93"/>
      <c r="B117" s="93"/>
      <c r="C117" s="97" t="str">
        <f t="shared" si="12"/>
        <v/>
      </c>
      <c r="D117" s="97" t="str">
        <f t="shared" si="13"/>
        <v/>
      </c>
      <c r="E117" s="93"/>
      <c r="F117" s="93"/>
      <c r="G117" s="93"/>
      <c r="H117" s="95" t="str">
        <f t="shared" si="14"/>
        <v/>
      </c>
      <c r="I117" s="93"/>
      <c r="J117" s="130" t="str">
        <f t="shared" si="15"/>
        <v/>
      </c>
    </row>
    <row r="118" spans="1:10" ht="15" customHeight="1" x14ac:dyDescent="0.25">
      <c r="A118" s="93"/>
      <c r="B118" s="93"/>
      <c r="C118" s="97" t="str">
        <f t="shared" si="12"/>
        <v/>
      </c>
      <c r="D118" s="97" t="str">
        <f t="shared" si="13"/>
        <v/>
      </c>
      <c r="E118" s="93"/>
      <c r="F118" s="93"/>
      <c r="G118" s="93"/>
      <c r="H118" s="95" t="str">
        <f t="shared" si="14"/>
        <v/>
      </c>
      <c r="I118" s="93"/>
      <c r="J118" s="130" t="str">
        <f t="shared" si="15"/>
        <v/>
      </c>
    </row>
    <row r="119" spans="1:10" ht="15" customHeight="1" x14ac:dyDescent="0.25">
      <c r="A119" s="93"/>
      <c r="B119" s="93"/>
      <c r="C119" s="97" t="str">
        <f t="shared" si="12"/>
        <v/>
      </c>
      <c r="D119" s="97" t="str">
        <f t="shared" si="13"/>
        <v/>
      </c>
      <c r="E119" s="93"/>
      <c r="F119" s="93"/>
      <c r="G119" s="93"/>
      <c r="H119" s="95" t="str">
        <f t="shared" si="14"/>
        <v/>
      </c>
      <c r="I119" s="93"/>
      <c r="J119" s="130" t="str">
        <f t="shared" si="15"/>
        <v/>
      </c>
    </row>
    <row r="120" spans="1:10" ht="15" customHeight="1" x14ac:dyDescent="0.25">
      <c r="A120" s="93"/>
      <c r="B120" s="93"/>
      <c r="C120" s="97" t="str">
        <f t="shared" si="12"/>
        <v/>
      </c>
      <c r="D120" s="97" t="str">
        <f t="shared" si="13"/>
        <v/>
      </c>
      <c r="E120" s="93"/>
      <c r="F120" s="93"/>
      <c r="G120" s="93"/>
      <c r="H120" s="95" t="str">
        <f t="shared" si="14"/>
        <v/>
      </c>
      <c r="I120" s="93"/>
      <c r="J120" s="130" t="str">
        <f t="shared" si="15"/>
        <v/>
      </c>
    </row>
    <row r="121" spans="1:10" ht="15" customHeight="1" x14ac:dyDescent="0.25">
      <c r="A121" s="93"/>
      <c r="B121" s="93"/>
      <c r="C121" s="97" t="str">
        <f t="shared" si="12"/>
        <v/>
      </c>
      <c r="D121" s="97" t="str">
        <f t="shared" si="13"/>
        <v/>
      </c>
      <c r="E121" s="93"/>
      <c r="F121" s="93"/>
      <c r="G121" s="93"/>
      <c r="H121" s="95" t="str">
        <f t="shared" si="14"/>
        <v/>
      </c>
      <c r="I121" s="93"/>
      <c r="J121" s="130" t="str">
        <f t="shared" si="15"/>
        <v/>
      </c>
    </row>
    <row r="122" spans="1:10" ht="15" customHeight="1" x14ac:dyDescent="0.25">
      <c r="A122" s="93"/>
      <c r="B122" s="93"/>
      <c r="C122" s="97" t="str">
        <f t="shared" si="12"/>
        <v/>
      </c>
      <c r="D122" s="97" t="str">
        <f t="shared" si="13"/>
        <v/>
      </c>
      <c r="E122" s="93"/>
      <c r="F122" s="93"/>
      <c r="G122" s="93"/>
      <c r="H122" s="95" t="str">
        <f t="shared" si="14"/>
        <v/>
      </c>
      <c r="I122" s="93"/>
      <c r="J122" s="130" t="str">
        <f t="shared" si="15"/>
        <v/>
      </c>
    </row>
    <row r="123" spans="1:10" ht="15" customHeight="1" x14ac:dyDescent="0.25">
      <c r="A123" s="93"/>
      <c r="B123" s="93"/>
      <c r="C123" s="97" t="str">
        <f t="shared" si="12"/>
        <v/>
      </c>
      <c r="D123" s="97" t="str">
        <f t="shared" si="13"/>
        <v/>
      </c>
      <c r="E123" s="93"/>
      <c r="F123" s="93"/>
      <c r="G123" s="93"/>
      <c r="H123" s="95" t="str">
        <f t="shared" si="14"/>
        <v/>
      </c>
      <c r="I123" s="93"/>
      <c r="J123" s="130" t="str">
        <f t="shared" si="15"/>
        <v/>
      </c>
    </row>
    <row r="124" spans="1:10" ht="15" customHeight="1" x14ac:dyDescent="0.25">
      <c r="A124" s="93"/>
      <c r="B124" s="93"/>
      <c r="C124" s="97" t="str">
        <f t="shared" si="12"/>
        <v/>
      </c>
      <c r="D124" s="97" t="str">
        <f t="shared" si="13"/>
        <v/>
      </c>
      <c r="E124" s="93"/>
      <c r="F124" s="93"/>
      <c r="G124" s="93"/>
      <c r="H124" s="95" t="str">
        <f t="shared" si="14"/>
        <v/>
      </c>
      <c r="I124" s="93"/>
      <c r="J124" s="130" t="str">
        <f t="shared" si="15"/>
        <v/>
      </c>
    </row>
    <row r="125" spans="1:10" ht="15" customHeight="1" x14ac:dyDescent="0.25">
      <c r="A125" s="93"/>
      <c r="B125" s="93"/>
      <c r="C125" s="97" t="str">
        <f t="shared" si="12"/>
        <v/>
      </c>
      <c r="D125" s="97" t="str">
        <f t="shared" si="13"/>
        <v/>
      </c>
      <c r="E125" s="93"/>
      <c r="F125" s="93"/>
      <c r="G125" s="93"/>
      <c r="H125" s="95" t="str">
        <f t="shared" si="14"/>
        <v/>
      </c>
      <c r="I125" s="93"/>
      <c r="J125" s="130" t="str">
        <f t="shared" si="15"/>
        <v/>
      </c>
    </row>
    <row r="126" spans="1:10" ht="15" customHeight="1" x14ac:dyDescent="0.25">
      <c r="A126" s="93"/>
      <c r="B126" s="93"/>
      <c r="C126" s="97" t="str">
        <f t="shared" si="12"/>
        <v/>
      </c>
      <c r="D126" s="97" t="str">
        <f t="shared" si="13"/>
        <v/>
      </c>
      <c r="E126" s="93"/>
      <c r="F126" s="93"/>
      <c r="G126" s="93"/>
      <c r="H126" s="95" t="str">
        <f t="shared" si="14"/>
        <v/>
      </c>
      <c r="I126" s="93"/>
      <c r="J126" s="130" t="str">
        <f t="shared" si="15"/>
        <v/>
      </c>
    </row>
    <row r="127" spans="1:10" ht="15" customHeight="1" x14ac:dyDescent="0.25">
      <c r="A127" s="93"/>
      <c r="B127" s="93"/>
      <c r="C127" s="97" t="str">
        <f t="shared" si="12"/>
        <v/>
      </c>
      <c r="D127" s="97" t="str">
        <f t="shared" si="13"/>
        <v/>
      </c>
      <c r="E127" s="93"/>
      <c r="F127" s="93"/>
      <c r="G127" s="93"/>
      <c r="H127" s="95" t="str">
        <f t="shared" si="14"/>
        <v/>
      </c>
      <c r="I127" s="93"/>
      <c r="J127" s="130" t="str">
        <f t="shared" si="15"/>
        <v/>
      </c>
    </row>
    <row r="128" spans="1:10" ht="15" customHeight="1" x14ac:dyDescent="0.25">
      <c r="A128" s="93"/>
      <c r="B128" s="93"/>
      <c r="C128" s="97" t="str">
        <f t="shared" si="12"/>
        <v/>
      </c>
      <c r="D128" s="97" t="str">
        <f t="shared" si="13"/>
        <v/>
      </c>
      <c r="E128" s="93"/>
      <c r="F128" s="93"/>
      <c r="G128" s="93"/>
      <c r="H128" s="95" t="str">
        <f t="shared" si="14"/>
        <v/>
      </c>
      <c r="I128" s="93"/>
      <c r="J128" s="130" t="str">
        <f t="shared" si="15"/>
        <v/>
      </c>
    </row>
    <row r="129" spans="1:10" ht="15" customHeight="1" x14ac:dyDescent="0.25">
      <c r="A129" s="93"/>
      <c r="B129" s="93"/>
      <c r="C129" s="97" t="str">
        <f t="shared" si="12"/>
        <v/>
      </c>
      <c r="D129" s="97" t="str">
        <f t="shared" si="13"/>
        <v/>
      </c>
      <c r="E129" s="93"/>
      <c r="F129" s="93"/>
      <c r="G129" s="93"/>
      <c r="H129" s="95" t="str">
        <f t="shared" si="14"/>
        <v/>
      </c>
      <c r="I129" s="93"/>
      <c r="J129" s="130" t="str">
        <f t="shared" si="15"/>
        <v/>
      </c>
    </row>
    <row r="130" spans="1:10" ht="15" customHeight="1" x14ac:dyDescent="0.25">
      <c r="A130" s="93"/>
      <c r="B130" s="93"/>
      <c r="C130" s="97" t="str">
        <f t="shared" si="12"/>
        <v/>
      </c>
      <c r="D130" s="97" t="str">
        <f t="shared" si="13"/>
        <v/>
      </c>
      <c r="E130" s="93"/>
      <c r="F130" s="93"/>
      <c r="G130" s="93"/>
      <c r="H130" s="95" t="str">
        <f t="shared" si="14"/>
        <v/>
      </c>
      <c r="I130" s="93"/>
      <c r="J130" s="130" t="str">
        <f t="shared" si="15"/>
        <v/>
      </c>
    </row>
    <row r="131" spans="1:10" ht="15" customHeight="1" x14ac:dyDescent="0.25">
      <c r="A131" s="93"/>
      <c r="B131" s="93"/>
      <c r="C131" s="97" t="str">
        <f t="shared" ref="C131:C162" si="16">IFERROR(VLOOKUP(B131,Staff_Table,2,FALSE()),"")</f>
        <v/>
      </c>
      <c r="D131" s="97" t="str">
        <f t="shared" ref="D131:D162" si="17">IFERROR(VLOOKUP(B131,Staff_Table,4,FALSE()),"")</f>
        <v/>
      </c>
      <c r="E131" s="93"/>
      <c r="F131" s="93"/>
      <c r="G131" s="93"/>
      <c r="H131" s="95" t="str">
        <f t="shared" ref="H131:H162" si="18">IFERROR(VLOOKUP(B131,Staff_Table,7,FALSE()),"")</f>
        <v/>
      </c>
      <c r="I131" s="93"/>
      <c r="J131" s="130" t="str">
        <f t="shared" ref="J131:J162" si="19">IFERROR(IF(B131="","",(G131*H131)+(I131*H131*Rate_Overtime_Mult)),0)</f>
        <v/>
      </c>
    </row>
    <row r="132" spans="1:10" ht="15" customHeight="1" x14ac:dyDescent="0.25">
      <c r="A132" s="93"/>
      <c r="B132" s="93"/>
      <c r="C132" s="97" t="str">
        <f t="shared" si="16"/>
        <v/>
      </c>
      <c r="D132" s="97" t="str">
        <f t="shared" si="17"/>
        <v/>
      </c>
      <c r="E132" s="93"/>
      <c r="F132" s="93"/>
      <c r="G132" s="93"/>
      <c r="H132" s="95" t="str">
        <f t="shared" si="18"/>
        <v/>
      </c>
      <c r="I132" s="93"/>
      <c r="J132" s="130" t="str">
        <f t="shared" si="19"/>
        <v/>
      </c>
    </row>
    <row r="133" spans="1:10" ht="15" customHeight="1" x14ac:dyDescent="0.25">
      <c r="A133" s="93"/>
      <c r="B133" s="93"/>
      <c r="C133" s="97" t="str">
        <f t="shared" si="16"/>
        <v/>
      </c>
      <c r="D133" s="97" t="str">
        <f t="shared" si="17"/>
        <v/>
      </c>
      <c r="E133" s="93"/>
      <c r="F133" s="93"/>
      <c r="G133" s="93"/>
      <c r="H133" s="95" t="str">
        <f t="shared" si="18"/>
        <v/>
      </c>
      <c r="I133" s="93"/>
      <c r="J133" s="130" t="str">
        <f t="shared" si="19"/>
        <v/>
      </c>
    </row>
    <row r="134" spans="1:10" ht="15" customHeight="1" x14ac:dyDescent="0.25">
      <c r="A134" s="93"/>
      <c r="B134" s="93"/>
      <c r="C134" s="97" t="str">
        <f t="shared" si="16"/>
        <v/>
      </c>
      <c r="D134" s="97" t="str">
        <f t="shared" si="17"/>
        <v/>
      </c>
      <c r="E134" s="93"/>
      <c r="F134" s="93"/>
      <c r="G134" s="93"/>
      <c r="H134" s="95" t="str">
        <f t="shared" si="18"/>
        <v/>
      </c>
      <c r="I134" s="93"/>
      <c r="J134" s="130" t="str">
        <f t="shared" si="19"/>
        <v/>
      </c>
    </row>
    <row r="135" spans="1:10" ht="15" customHeight="1" x14ac:dyDescent="0.25">
      <c r="A135" s="93"/>
      <c r="B135" s="93"/>
      <c r="C135" s="97" t="str">
        <f t="shared" si="16"/>
        <v/>
      </c>
      <c r="D135" s="97" t="str">
        <f t="shared" si="17"/>
        <v/>
      </c>
      <c r="E135" s="93"/>
      <c r="F135" s="93"/>
      <c r="G135" s="93"/>
      <c r="H135" s="95" t="str">
        <f t="shared" si="18"/>
        <v/>
      </c>
      <c r="I135" s="93"/>
      <c r="J135" s="130" t="str">
        <f t="shared" si="19"/>
        <v/>
      </c>
    </row>
    <row r="136" spans="1:10" ht="15" customHeight="1" x14ac:dyDescent="0.25">
      <c r="A136" s="93"/>
      <c r="B136" s="93"/>
      <c r="C136" s="97" t="str">
        <f t="shared" si="16"/>
        <v/>
      </c>
      <c r="D136" s="97" t="str">
        <f t="shared" si="17"/>
        <v/>
      </c>
      <c r="E136" s="93"/>
      <c r="F136" s="93"/>
      <c r="G136" s="93"/>
      <c r="H136" s="95" t="str">
        <f t="shared" si="18"/>
        <v/>
      </c>
      <c r="I136" s="93"/>
      <c r="J136" s="130" t="str">
        <f t="shared" si="19"/>
        <v/>
      </c>
    </row>
    <row r="137" spans="1:10" ht="15" customHeight="1" x14ac:dyDescent="0.25">
      <c r="A137" s="93"/>
      <c r="B137" s="93"/>
      <c r="C137" s="97" t="str">
        <f t="shared" si="16"/>
        <v/>
      </c>
      <c r="D137" s="97" t="str">
        <f t="shared" si="17"/>
        <v/>
      </c>
      <c r="E137" s="93"/>
      <c r="F137" s="93"/>
      <c r="G137" s="93"/>
      <c r="H137" s="95" t="str">
        <f t="shared" si="18"/>
        <v/>
      </c>
      <c r="I137" s="93"/>
      <c r="J137" s="130" t="str">
        <f t="shared" si="19"/>
        <v/>
      </c>
    </row>
    <row r="138" spans="1:10" ht="15" customHeight="1" x14ac:dyDescent="0.25">
      <c r="A138" s="93"/>
      <c r="B138" s="93"/>
      <c r="C138" s="97" t="str">
        <f t="shared" si="16"/>
        <v/>
      </c>
      <c r="D138" s="97" t="str">
        <f t="shared" si="17"/>
        <v/>
      </c>
      <c r="E138" s="93"/>
      <c r="F138" s="93"/>
      <c r="G138" s="93"/>
      <c r="H138" s="95" t="str">
        <f t="shared" si="18"/>
        <v/>
      </c>
      <c r="I138" s="93"/>
      <c r="J138" s="130" t="str">
        <f t="shared" si="19"/>
        <v/>
      </c>
    </row>
    <row r="139" spans="1:10" ht="15" customHeight="1" x14ac:dyDescent="0.25">
      <c r="A139" s="93"/>
      <c r="B139" s="93"/>
      <c r="C139" s="97" t="str">
        <f t="shared" si="16"/>
        <v/>
      </c>
      <c r="D139" s="97" t="str">
        <f t="shared" si="17"/>
        <v/>
      </c>
      <c r="E139" s="93"/>
      <c r="F139" s="93"/>
      <c r="G139" s="93"/>
      <c r="H139" s="95" t="str">
        <f t="shared" si="18"/>
        <v/>
      </c>
      <c r="I139" s="93"/>
      <c r="J139" s="130" t="str">
        <f t="shared" si="19"/>
        <v/>
      </c>
    </row>
    <row r="140" spans="1:10" ht="15" customHeight="1" x14ac:dyDescent="0.25">
      <c r="A140" s="93"/>
      <c r="B140" s="93"/>
      <c r="C140" s="97" t="str">
        <f t="shared" si="16"/>
        <v/>
      </c>
      <c r="D140" s="97" t="str">
        <f t="shared" si="17"/>
        <v/>
      </c>
      <c r="E140" s="93"/>
      <c r="F140" s="93"/>
      <c r="G140" s="93"/>
      <c r="H140" s="95" t="str">
        <f t="shared" si="18"/>
        <v/>
      </c>
      <c r="I140" s="93"/>
      <c r="J140" s="130" t="str">
        <f t="shared" si="19"/>
        <v/>
      </c>
    </row>
    <row r="141" spans="1:10" ht="15" customHeight="1" x14ac:dyDescent="0.25">
      <c r="A141" s="93"/>
      <c r="B141" s="93"/>
      <c r="C141" s="97" t="str">
        <f t="shared" si="16"/>
        <v/>
      </c>
      <c r="D141" s="97" t="str">
        <f t="shared" si="17"/>
        <v/>
      </c>
      <c r="E141" s="93"/>
      <c r="F141" s="93"/>
      <c r="G141" s="93"/>
      <c r="H141" s="95" t="str">
        <f t="shared" si="18"/>
        <v/>
      </c>
      <c r="I141" s="93"/>
      <c r="J141" s="130" t="str">
        <f t="shared" si="19"/>
        <v/>
      </c>
    </row>
    <row r="142" spans="1:10" ht="15" customHeight="1" x14ac:dyDescent="0.25">
      <c r="A142" s="93"/>
      <c r="B142" s="93"/>
      <c r="C142" s="97" t="str">
        <f t="shared" si="16"/>
        <v/>
      </c>
      <c r="D142" s="97" t="str">
        <f t="shared" si="17"/>
        <v/>
      </c>
      <c r="E142" s="93"/>
      <c r="F142" s="93"/>
      <c r="G142" s="93"/>
      <c r="H142" s="95" t="str">
        <f t="shared" si="18"/>
        <v/>
      </c>
      <c r="I142" s="93"/>
      <c r="J142" s="130" t="str">
        <f t="shared" si="19"/>
        <v/>
      </c>
    </row>
    <row r="143" spans="1:10" ht="15" customHeight="1" x14ac:dyDescent="0.25">
      <c r="A143" s="93"/>
      <c r="B143" s="93"/>
      <c r="C143" s="97" t="str">
        <f t="shared" si="16"/>
        <v/>
      </c>
      <c r="D143" s="97" t="str">
        <f t="shared" si="17"/>
        <v/>
      </c>
      <c r="E143" s="93"/>
      <c r="F143" s="93"/>
      <c r="G143" s="93"/>
      <c r="H143" s="95" t="str">
        <f t="shared" si="18"/>
        <v/>
      </c>
      <c r="I143" s="93"/>
      <c r="J143" s="130" t="str">
        <f t="shared" si="19"/>
        <v/>
      </c>
    </row>
    <row r="144" spans="1:10" ht="15" customHeight="1" x14ac:dyDescent="0.25">
      <c r="A144" s="93"/>
      <c r="B144" s="93"/>
      <c r="C144" s="97" t="str">
        <f t="shared" si="16"/>
        <v/>
      </c>
      <c r="D144" s="97" t="str">
        <f t="shared" si="17"/>
        <v/>
      </c>
      <c r="E144" s="93"/>
      <c r="F144" s="93"/>
      <c r="G144" s="93"/>
      <c r="H144" s="95" t="str">
        <f t="shared" si="18"/>
        <v/>
      </c>
      <c r="I144" s="93"/>
      <c r="J144" s="130" t="str">
        <f t="shared" si="19"/>
        <v/>
      </c>
    </row>
    <row r="145" spans="1:10" ht="15" customHeight="1" x14ac:dyDescent="0.25">
      <c r="A145" s="93"/>
      <c r="B145" s="93"/>
      <c r="C145" s="97" t="str">
        <f t="shared" si="16"/>
        <v/>
      </c>
      <c r="D145" s="97" t="str">
        <f t="shared" si="17"/>
        <v/>
      </c>
      <c r="E145" s="93"/>
      <c r="F145" s="93"/>
      <c r="G145" s="93"/>
      <c r="H145" s="95" t="str">
        <f t="shared" si="18"/>
        <v/>
      </c>
      <c r="I145" s="93"/>
      <c r="J145" s="130" t="str">
        <f t="shared" si="19"/>
        <v/>
      </c>
    </row>
    <row r="146" spans="1:10" ht="15" customHeight="1" x14ac:dyDescent="0.25">
      <c r="A146" s="93"/>
      <c r="B146" s="93"/>
      <c r="C146" s="97" t="str">
        <f t="shared" si="16"/>
        <v/>
      </c>
      <c r="D146" s="97" t="str">
        <f t="shared" si="17"/>
        <v/>
      </c>
      <c r="E146" s="93"/>
      <c r="F146" s="93"/>
      <c r="G146" s="93"/>
      <c r="H146" s="95" t="str">
        <f t="shared" si="18"/>
        <v/>
      </c>
      <c r="I146" s="93"/>
      <c r="J146" s="130" t="str">
        <f t="shared" si="19"/>
        <v/>
      </c>
    </row>
    <row r="147" spans="1:10" ht="15" customHeight="1" x14ac:dyDescent="0.25">
      <c r="A147" s="93"/>
      <c r="B147" s="93"/>
      <c r="C147" s="97" t="str">
        <f t="shared" si="16"/>
        <v/>
      </c>
      <c r="D147" s="97" t="str">
        <f t="shared" si="17"/>
        <v/>
      </c>
      <c r="E147" s="93"/>
      <c r="F147" s="93"/>
      <c r="G147" s="93"/>
      <c r="H147" s="95" t="str">
        <f t="shared" si="18"/>
        <v/>
      </c>
      <c r="I147" s="93"/>
      <c r="J147" s="130" t="str">
        <f t="shared" si="19"/>
        <v/>
      </c>
    </row>
    <row r="148" spans="1:10" ht="15" customHeight="1" x14ac:dyDescent="0.25">
      <c r="A148" s="93"/>
      <c r="B148" s="93"/>
      <c r="C148" s="97" t="str">
        <f t="shared" si="16"/>
        <v/>
      </c>
      <c r="D148" s="97" t="str">
        <f t="shared" si="17"/>
        <v/>
      </c>
      <c r="E148" s="93"/>
      <c r="F148" s="93"/>
      <c r="G148" s="93"/>
      <c r="H148" s="95" t="str">
        <f t="shared" si="18"/>
        <v/>
      </c>
      <c r="I148" s="93"/>
      <c r="J148" s="130" t="str">
        <f t="shared" si="19"/>
        <v/>
      </c>
    </row>
    <row r="149" spans="1:10" ht="15" customHeight="1" x14ac:dyDescent="0.25">
      <c r="A149" s="93"/>
      <c r="B149" s="93"/>
      <c r="C149" s="97" t="str">
        <f t="shared" si="16"/>
        <v/>
      </c>
      <c r="D149" s="97" t="str">
        <f t="shared" si="17"/>
        <v/>
      </c>
      <c r="E149" s="93"/>
      <c r="F149" s="93"/>
      <c r="G149" s="93"/>
      <c r="H149" s="95" t="str">
        <f t="shared" si="18"/>
        <v/>
      </c>
      <c r="I149" s="93"/>
      <c r="J149" s="130" t="str">
        <f t="shared" si="19"/>
        <v/>
      </c>
    </row>
    <row r="150" spans="1:10" ht="15" customHeight="1" x14ac:dyDescent="0.25">
      <c r="A150" s="93"/>
      <c r="B150" s="93"/>
      <c r="C150" s="97" t="str">
        <f t="shared" si="16"/>
        <v/>
      </c>
      <c r="D150" s="97" t="str">
        <f t="shared" si="17"/>
        <v/>
      </c>
      <c r="E150" s="93"/>
      <c r="F150" s="93"/>
      <c r="G150" s="93"/>
      <c r="H150" s="95" t="str">
        <f t="shared" si="18"/>
        <v/>
      </c>
      <c r="I150" s="93"/>
      <c r="J150" s="130" t="str">
        <f t="shared" si="19"/>
        <v/>
      </c>
    </row>
    <row r="151" spans="1:10" ht="15" customHeight="1" x14ac:dyDescent="0.25">
      <c r="A151" s="93"/>
      <c r="B151" s="93"/>
      <c r="C151" s="97" t="str">
        <f t="shared" si="16"/>
        <v/>
      </c>
      <c r="D151" s="97" t="str">
        <f t="shared" si="17"/>
        <v/>
      </c>
      <c r="E151" s="93"/>
      <c r="F151" s="93"/>
      <c r="G151" s="93"/>
      <c r="H151" s="95" t="str">
        <f t="shared" si="18"/>
        <v/>
      </c>
      <c r="I151" s="93"/>
      <c r="J151" s="130" t="str">
        <f t="shared" si="19"/>
        <v/>
      </c>
    </row>
    <row r="152" spans="1:10" ht="15" customHeight="1" x14ac:dyDescent="0.25">
      <c r="A152" s="93"/>
      <c r="B152" s="93"/>
      <c r="C152" s="97" t="str">
        <f t="shared" si="16"/>
        <v/>
      </c>
      <c r="D152" s="97" t="str">
        <f t="shared" si="17"/>
        <v/>
      </c>
      <c r="E152" s="93"/>
      <c r="F152" s="93"/>
      <c r="G152" s="93"/>
      <c r="H152" s="95" t="str">
        <f t="shared" si="18"/>
        <v/>
      </c>
      <c r="I152" s="93"/>
      <c r="J152" s="130" t="str">
        <f t="shared" si="19"/>
        <v/>
      </c>
    </row>
    <row r="153" spans="1:10" ht="15" customHeight="1" x14ac:dyDescent="0.25">
      <c r="A153" s="93"/>
      <c r="B153" s="93"/>
      <c r="C153" s="97" t="str">
        <f t="shared" si="16"/>
        <v/>
      </c>
      <c r="D153" s="97" t="str">
        <f t="shared" si="17"/>
        <v/>
      </c>
      <c r="E153" s="93"/>
      <c r="F153" s="93"/>
      <c r="G153" s="93"/>
      <c r="H153" s="95" t="str">
        <f t="shared" si="18"/>
        <v/>
      </c>
      <c r="I153" s="93"/>
      <c r="J153" s="130" t="str">
        <f t="shared" si="19"/>
        <v/>
      </c>
    </row>
    <row r="154" spans="1:10" ht="15" customHeight="1" x14ac:dyDescent="0.25">
      <c r="A154" s="93"/>
      <c r="B154" s="93"/>
      <c r="C154" s="97" t="str">
        <f t="shared" si="16"/>
        <v/>
      </c>
      <c r="D154" s="97" t="str">
        <f t="shared" si="17"/>
        <v/>
      </c>
      <c r="E154" s="93"/>
      <c r="F154" s="93"/>
      <c r="G154" s="93"/>
      <c r="H154" s="95" t="str">
        <f t="shared" si="18"/>
        <v/>
      </c>
      <c r="I154" s="93"/>
      <c r="J154" s="130" t="str">
        <f t="shared" si="19"/>
        <v/>
      </c>
    </row>
    <row r="155" spans="1:10" ht="15" customHeight="1" x14ac:dyDescent="0.25">
      <c r="A155" s="93"/>
      <c r="B155" s="93"/>
      <c r="C155" s="97" t="str">
        <f t="shared" si="16"/>
        <v/>
      </c>
      <c r="D155" s="97" t="str">
        <f t="shared" si="17"/>
        <v/>
      </c>
      <c r="E155" s="93"/>
      <c r="F155" s="93"/>
      <c r="G155" s="93"/>
      <c r="H155" s="95" t="str">
        <f t="shared" si="18"/>
        <v/>
      </c>
      <c r="I155" s="93"/>
      <c r="J155" s="130" t="str">
        <f t="shared" si="19"/>
        <v/>
      </c>
    </row>
    <row r="156" spans="1:10" ht="15" customHeight="1" x14ac:dyDescent="0.25">
      <c r="A156" s="93"/>
      <c r="B156" s="93"/>
      <c r="C156" s="97" t="str">
        <f t="shared" si="16"/>
        <v/>
      </c>
      <c r="D156" s="97" t="str">
        <f t="shared" si="17"/>
        <v/>
      </c>
      <c r="E156" s="93"/>
      <c r="F156" s="93"/>
      <c r="G156" s="93"/>
      <c r="H156" s="95" t="str">
        <f t="shared" si="18"/>
        <v/>
      </c>
      <c r="I156" s="93"/>
      <c r="J156" s="130" t="str">
        <f t="shared" si="19"/>
        <v/>
      </c>
    </row>
    <row r="157" spans="1:10" ht="15" customHeight="1" x14ac:dyDescent="0.25">
      <c r="A157" s="93"/>
      <c r="B157" s="93"/>
      <c r="C157" s="97" t="str">
        <f t="shared" si="16"/>
        <v/>
      </c>
      <c r="D157" s="97" t="str">
        <f t="shared" si="17"/>
        <v/>
      </c>
      <c r="E157" s="93"/>
      <c r="F157" s="93"/>
      <c r="G157" s="93"/>
      <c r="H157" s="95" t="str">
        <f t="shared" si="18"/>
        <v/>
      </c>
      <c r="I157" s="93"/>
      <c r="J157" s="130" t="str">
        <f t="shared" si="19"/>
        <v/>
      </c>
    </row>
    <row r="158" spans="1:10" ht="15" customHeight="1" x14ac:dyDescent="0.25">
      <c r="A158" s="93"/>
      <c r="B158" s="93"/>
      <c r="C158" s="97" t="str">
        <f t="shared" si="16"/>
        <v/>
      </c>
      <c r="D158" s="97" t="str">
        <f t="shared" si="17"/>
        <v/>
      </c>
      <c r="E158" s="93"/>
      <c r="F158" s="93"/>
      <c r="G158" s="93"/>
      <c r="H158" s="95" t="str">
        <f t="shared" si="18"/>
        <v/>
      </c>
      <c r="I158" s="93"/>
      <c r="J158" s="130" t="str">
        <f t="shared" si="19"/>
        <v/>
      </c>
    </row>
    <row r="159" spans="1:10" ht="15" customHeight="1" x14ac:dyDescent="0.25">
      <c r="A159" s="93"/>
      <c r="B159" s="93"/>
      <c r="C159" s="97" t="str">
        <f t="shared" si="16"/>
        <v/>
      </c>
      <c r="D159" s="97" t="str">
        <f t="shared" si="17"/>
        <v/>
      </c>
      <c r="E159" s="93"/>
      <c r="F159" s="93"/>
      <c r="G159" s="93"/>
      <c r="H159" s="95" t="str">
        <f t="shared" si="18"/>
        <v/>
      </c>
      <c r="I159" s="93"/>
      <c r="J159" s="130" t="str">
        <f t="shared" si="19"/>
        <v/>
      </c>
    </row>
    <row r="160" spans="1:10" ht="15" customHeight="1" x14ac:dyDescent="0.25">
      <c r="A160" s="93"/>
      <c r="B160" s="93"/>
      <c r="C160" s="97" t="str">
        <f t="shared" si="16"/>
        <v/>
      </c>
      <c r="D160" s="97" t="str">
        <f t="shared" si="17"/>
        <v/>
      </c>
      <c r="E160" s="93"/>
      <c r="F160" s="93"/>
      <c r="G160" s="93"/>
      <c r="H160" s="95" t="str">
        <f t="shared" si="18"/>
        <v/>
      </c>
      <c r="I160" s="93"/>
      <c r="J160" s="130" t="str">
        <f t="shared" si="19"/>
        <v/>
      </c>
    </row>
    <row r="161" spans="1:10" ht="15" customHeight="1" x14ac:dyDescent="0.25">
      <c r="A161" s="93"/>
      <c r="B161" s="93"/>
      <c r="C161" s="97" t="str">
        <f t="shared" si="16"/>
        <v/>
      </c>
      <c r="D161" s="97" t="str">
        <f t="shared" si="17"/>
        <v/>
      </c>
      <c r="E161" s="93"/>
      <c r="F161" s="93"/>
      <c r="G161" s="93"/>
      <c r="H161" s="95" t="str">
        <f t="shared" si="18"/>
        <v/>
      </c>
      <c r="I161" s="93"/>
      <c r="J161" s="130" t="str">
        <f t="shared" si="19"/>
        <v/>
      </c>
    </row>
    <row r="162" spans="1:10" ht="15" customHeight="1" x14ac:dyDescent="0.25">
      <c r="A162" s="93"/>
      <c r="B162" s="93"/>
      <c r="C162" s="97" t="str">
        <f t="shared" si="16"/>
        <v/>
      </c>
      <c r="D162" s="97" t="str">
        <f t="shared" si="17"/>
        <v/>
      </c>
      <c r="E162" s="93"/>
      <c r="F162" s="93"/>
      <c r="G162" s="93"/>
      <c r="H162" s="95" t="str">
        <f t="shared" si="18"/>
        <v/>
      </c>
      <c r="I162" s="93"/>
      <c r="J162" s="130" t="str">
        <f t="shared" si="19"/>
        <v/>
      </c>
    </row>
    <row r="163" spans="1:10" ht="15" customHeight="1" x14ac:dyDescent="0.25">
      <c r="A163" s="93"/>
      <c r="B163" s="93"/>
      <c r="C163" s="97" t="str">
        <f t="shared" ref="C163:C194" si="20">IFERROR(VLOOKUP(B163,Staff_Table,2,FALSE()),"")</f>
        <v/>
      </c>
      <c r="D163" s="97" t="str">
        <f t="shared" ref="D163:D194" si="21">IFERROR(VLOOKUP(B163,Staff_Table,4,FALSE()),"")</f>
        <v/>
      </c>
      <c r="E163" s="93"/>
      <c r="F163" s="93"/>
      <c r="G163" s="93"/>
      <c r="H163" s="95" t="str">
        <f t="shared" ref="H163:H194" si="22">IFERROR(VLOOKUP(B163,Staff_Table,7,FALSE()),"")</f>
        <v/>
      </c>
      <c r="I163" s="93"/>
      <c r="J163" s="130" t="str">
        <f t="shared" ref="J163:J194" si="23">IFERROR(IF(B163="","",(G163*H163)+(I163*H163*Rate_Overtime_Mult)),0)</f>
        <v/>
      </c>
    </row>
    <row r="164" spans="1:10" ht="15" customHeight="1" x14ac:dyDescent="0.25">
      <c r="A164" s="93"/>
      <c r="B164" s="93"/>
      <c r="C164" s="97" t="str">
        <f t="shared" si="20"/>
        <v/>
      </c>
      <c r="D164" s="97" t="str">
        <f t="shared" si="21"/>
        <v/>
      </c>
      <c r="E164" s="93"/>
      <c r="F164" s="93"/>
      <c r="G164" s="93"/>
      <c r="H164" s="95" t="str">
        <f t="shared" si="22"/>
        <v/>
      </c>
      <c r="I164" s="93"/>
      <c r="J164" s="130" t="str">
        <f t="shared" si="23"/>
        <v/>
      </c>
    </row>
    <row r="165" spans="1:10" ht="15" customHeight="1" x14ac:dyDescent="0.25">
      <c r="A165" s="93"/>
      <c r="B165" s="93"/>
      <c r="C165" s="97" t="str">
        <f t="shared" si="20"/>
        <v/>
      </c>
      <c r="D165" s="97" t="str">
        <f t="shared" si="21"/>
        <v/>
      </c>
      <c r="E165" s="93"/>
      <c r="F165" s="93"/>
      <c r="G165" s="93"/>
      <c r="H165" s="95" t="str">
        <f t="shared" si="22"/>
        <v/>
      </c>
      <c r="I165" s="93"/>
      <c r="J165" s="130" t="str">
        <f t="shared" si="23"/>
        <v/>
      </c>
    </row>
    <row r="166" spans="1:10" ht="15" customHeight="1" x14ac:dyDescent="0.25">
      <c r="A166" s="93"/>
      <c r="B166" s="93"/>
      <c r="C166" s="97" t="str">
        <f t="shared" si="20"/>
        <v/>
      </c>
      <c r="D166" s="97" t="str">
        <f t="shared" si="21"/>
        <v/>
      </c>
      <c r="E166" s="93"/>
      <c r="F166" s="93"/>
      <c r="G166" s="93"/>
      <c r="H166" s="95" t="str">
        <f t="shared" si="22"/>
        <v/>
      </c>
      <c r="I166" s="93"/>
      <c r="J166" s="130" t="str">
        <f t="shared" si="23"/>
        <v/>
      </c>
    </row>
    <row r="167" spans="1:10" ht="15" customHeight="1" x14ac:dyDescent="0.25">
      <c r="A167" s="93"/>
      <c r="B167" s="93"/>
      <c r="C167" s="97" t="str">
        <f t="shared" si="20"/>
        <v/>
      </c>
      <c r="D167" s="97" t="str">
        <f t="shared" si="21"/>
        <v/>
      </c>
      <c r="E167" s="93"/>
      <c r="F167" s="93"/>
      <c r="G167" s="93"/>
      <c r="H167" s="95" t="str">
        <f t="shared" si="22"/>
        <v/>
      </c>
      <c r="I167" s="93"/>
      <c r="J167" s="130" t="str">
        <f t="shared" si="23"/>
        <v/>
      </c>
    </row>
    <row r="168" spans="1:10" ht="15" customHeight="1" x14ac:dyDescent="0.25">
      <c r="A168" s="93"/>
      <c r="B168" s="93"/>
      <c r="C168" s="97" t="str">
        <f t="shared" si="20"/>
        <v/>
      </c>
      <c r="D168" s="97" t="str">
        <f t="shared" si="21"/>
        <v/>
      </c>
      <c r="E168" s="93"/>
      <c r="F168" s="93"/>
      <c r="G168" s="93"/>
      <c r="H168" s="95" t="str">
        <f t="shared" si="22"/>
        <v/>
      </c>
      <c r="I168" s="93"/>
      <c r="J168" s="130" t="str">
        <f t="shared" si="23"/>
        <v/>
      </c>
    </row>
    <row r="169" spans="1:10" ht="15" customHeight="1" x14ac:dyDescent="0.25">
      <c r="A169" s="93"/>
      <c r="B169" s="93"/>
      <c r="C169" s="97" t="str">
        <f t="shared" si="20"/>
        <v/>
      </c>
      <c r="D169" s="97" t="str">
        <f t="shared" si="21"/>
        <v/>
      </c>
      <c r="E169" s="93"/>
      <c r="F169" s="93"/>
      <c r="G169" s="93"/>
      <c r="H169" s="95" t="str">
        <f t="shared" si="22"/>
        <v/>
      </c>
      <c r="I169" s="93"/>
      <c r="J169" s="130" t="str">
        <f t="shared" si="23"/>
        <v/>
      </c>
    </row>
    <row r="170" spans="1:10" ht="15" customHeight="1" x14ac:dyDescent="0.25">
      <c r="A170" s="93"/>
      <c r="B170" s="93"/>
      <c r="C170" s="97" t="str">
        <f t="shared" si="20"/>
        <v/>
      </c>
      <c r="D170" s="97" t="str">
        <f t="shared" si="21"/>
        <v/>
      </c>
      <c r="E170" s="93"/>
      <c r="F170" s="93"/>
      <c r="G170" s="93"/>
      <c r="H170" s="95" t="str">
        <f t="shared" si="22"/>
        <v/>
      </c>
      <c r="I170" s="93"/>
      <c r="J170" s="130" t="str">
        <f t="shared" si="23"/>
        <v/>
      </c>
    </row>
    <row r="171" spans="1:10" ht="15" customHeight="1" x14ac:dyDescent="0.25">
      <c r="A171" s="93"/>
      <c r="B171" s="93"/>
      <c r="C171" s="97" t="str">
        <f t="shared" si="20"/>
        <v/>
      </c>
      <c r="D171" s="97" t="str">
        <f t="shared" si="21"/>
        <v/>
      </c>
      <c r="E171" s="93"/>
      <c r="F171" s="93"/>
      <c r="G171" s="93"/>
      <c r="H171" s="95" t="str">
        <f t="shared" si="22"/>
        <v/>
      </c>
      <c r="I171" s="93"/>
      <c r="J171" s="130" t="str">
        <f t="shared" si="23"/>
        <v/>
      </c>
    </row>
    <row r="172" spans="1:10" ht="15" customHeight="1" x14ac:dyDescent="0.25">
      <c r="A172" s="93"/>
      <c r="B172" s="93"/>
      <c r="C172" s="97" t="str">
        <f t="shared" si="20"/>
        <v/>
      </c>
      <c r="D172" s="97" t="str">
        <f t="shared" si="21"/>
        <v/>
      </c>
      <c r="E172" s="93"/>
      <c r="F172" s="93"/>
      <c r="G172" s="93"/>
      <c r="H172" s="95" t="str">
        <f t="shared" si="22"/>
        <v/>
      </c>
      <c r="I172" s="93"/>
      <c r="J172" s="130" t="str">
        <f t="shared" si="23"/>
        <v/>
      </c>
    </row>
    <row r="173" spans="1:10" ht="15" customHeight="1" x14ac:dyDescent="0.25">
      <c r="A173" s="93"/>
      <c r="B173" s="93"/>
      <c r="C173" s="97" t="str">
        <f t="shared" si="20"/>
        <v/>
      </c>
      <c r="D173" s="97" t="str">
        <f t="shared" si="21"/>
        <v/>
      </c>
      <c r="E173" s="93"/>
      <c r="F173" s="93"/>
      <c r="G173" s="93"/>
      <c r="H173" s="95" t="str">
        <f t="shared" si="22"/>
        <v/>
      </c>
      <c r="I173" s="93"/>
      <c r="J173" s="130" t="str">
        <f t="shared" si="23"/>
        <v/>
      </c>
    </row>
    <row r="174" spans="1:10" ht="15" customHeight="1" x14ac:dyDescent="0.25">
      <c r="A174" s="93"/>
      <c r="B174" s="93"/>
      <c r="C174" s="97" t="str">
        <f t="shared" si="20"/>
        <v/>
      </c>
      <c r="D174" s="97" t="str">
        <f t="shared" si="21"/>
        <v/>
      </c>
      <c r="E174" s="93"/>
      <c r="F174" s="93"/>
      <c r="G174" s="93"/>
      <c r="H174" s="95" t="str">
        <f t="shared" si="22"/>
        <v/>
      </c>
      <c r="I174" s="93"/>
      <c r="J174" s="130" t="str">
        <f t="shared" si="23"/>
        <v/>
      </c>
    </row>
    <row r="175" spans="1:10" ht="15" customHeight="1" x14ac:dyDescent="0.25">
      <c r="A175" s="93"/>
      <c r="B175" s="93"/>
      <c r="C175" s="97" t="str">
        <f t="shared" si="20"/>
        <v/>
      </c>
      <c r="D175" s="97" t="str">
        <f t="shared" si="21"/>
        <v/>
      </c>
      <c r="E175" s="93"/>
      <c r="F175" s="93"/>
      <c r="G175" s="93"/>
      <c r="H175" s="95" t="str">
        <f t="shared" si="22"/>
        <v/>
      </c>
      <c r="I175" s="93"/>
      <c r="J175" s="130" t="str">
        <f t="shared" si="23"/>
        <v/>
      </c>
    </row>
    <row r="176" spans="1:10" ht="15" customHeight="1" x14ac:dyDescent="0.25">
      <c r="A176" s="93"/>
      <c r="B176" s="93"/>
      <c r="C176" s="97" t="str">
        <f t="shared" si="20"/>
        <v/>
      </c>
      <c r="D176" s="97" t="str">
        <f t="shared" si="21"/>
        <v/>
      </c>
      <c r="E176" s="93"/>
      <c r="F176" s="93"/>
      <c r="G176" s="93"/>
      <c r="H176" s="95" t="str">
        <f t="shared" si="22"/>
        <v/>
      </c>
      <c r="I176" s="93"/>
      <c r="J176" s="130" t="str">
        <f t="shared" si="23"/>
        <v/>
      </c>
    </row>
    <row r="177" spans="1:10" ht="15" customHeight="1" x14ac:dyDescent="0.25">
      <c r="A177" s="93"/>
      <c r="B177" s="93"/>
      <c r="C177" s="97" t="str">
        <f t="shared" si="20"/>
        <v/>
      </c>
      <c r="D177" s="97" t="str">
        <f t="shared" si="21"/>
        <v/>
      </c>
      <c r="E177" s="93"/>
      <c r="F177" s="93"/>
      <c r="G177" s="93"/>
      <c r="H177" s="95" t="str">
        <f t="shared" si="22"/>
        <v/>
      </c>
      <c r="I177" s="93"/>
      <c r="J177" s="130" t="str">
        <f t="shared" si="23"/>
        <v/>
      </c>
    </row>
    <row r="178" spans="1:10" ht="15" customHeight="1" x14ac:dyDescent="0.25">
      <c r="A178" s="93"/>
      <c r="B178" s="93"/>
      <c r="C178" s="97" t="str">
        <f t="shared" si="20"/>
        <v/>
      </c>
      <c r="D178" s="97" t="str">
        <f t="shared" si="21"/>
        <v/>
      </c>
      <c r="E178" s="93"/>
      <c r="F178" s="93"/>
      <c r="G178" s="93"/>
      <c r="H178" s="95" t="str">
        <f t="shared" si="22"/>
        <v/>
      </c>
      <c r="I178" s="93"/>
      <c r="J178" s="130" t="str">
        <f t="shared" si="23"/>
        <v/>
      </c>
    </row>
    <row r="179" spans="1:10" ht="15" customHeight="1" x14ac:dyDescent="0.25">
      <c r="A179" s="93"/>
      <c r="B179" s="93"/>
      <c r="C179" s="97" t="str">
        <f t="shared" si="20"/>
        <v/>
      </c>
      <c r="D179" s="97" t="str">
        <f t="shared" si="21"/>
        <v/>
      </c>
      <c r="E179" s="93"/>
      <c r="F179" s="93"/>
      <c r="G179" s="93"/>
      <c r="H179" s="95" t="str">
        <f t="shared" si="22"/>
        <v/>
      </c>
      <c r="I179" s="93"/>
      <c r="J179" s="130" t="str">
        <f t="shared" si="23"/>
        <v/>
      </c>
    </row>
    <row r="180" spans="1:10" ht="15" customHeight="1" x14ac:dyDescent="0.25">
      <c r="A180" s="93"/>
      <c r="B180" s="93"/>
      <c r="C180" s="97" t="str">
        <f t="shared" si="20"/>
        <v/>
      </c>
      <c r="D180" s="97" t="str">
        <f t="shared" si="21"/>
        <v/>
      </c>
      <c r="E180" s="93"/>
      <c r="F180" s="93"/>
      <c r="G180" s="93"/>
      <c r="H180" s="95" t="str">
        <f t="shared" si="22"/>
        <v/>
      </c>
      <c r="I180" s="93"/>
      <c r="J180" s="130" t="str">
        <f t="shared" si="23"/>
        <v/>
      </c>
    </row>
    <row r="181" spans="1:10" ht="15" customHeight="1" x14ac:dyDescent="0.25">
      <c r="A181" s="93"/>
      <c r="B181" s="93"/>
      <c r="C181" s="97" t="str">
        <f t="shared" si="20"/>
        <v/>
      </c>
      <c r="D181" s="97" t="str">
        <f t="shared" si="21"/>
        <v/>
      </c>
      <c r="E181" s="93"/>
      <c r="F181" s="93"/>
      <c r="G181" s="93"/>
      <c r="H181" s="95" t="str">
        <f t="shared" si="22"/>
        <v/>
      </c>
      <c r="I181" s="93"/>
      <c r="J181" s="130" t="str">
        <f t="shared" si="23"/>
        <v/>
      </c>
    </row>
    <row r="182" spans="1:10" ht="15" customHeight="1" x14ac:dyDescent="0.25">
      <c r="A182" s="93"/>
      <c r="B182" s="93"/>
      <c r="C182" s="97" t="str">
        <f t="shared" si="20"/>
        <v/>
      </c>
      <c r="D182" s="97" t="str">
        <f t="shared" si="21"/>
        <v/>
      </c>
      <c r="E182" s="93"/>
      <c r="F182" s="93"/>
      <c r="G182" s="93"/>
      <c r="H182" s="95" t="str">
        <f t="shared" si="22"/>
        <v/>
      </c>
      <c r="I182" s="93"/>
      <c r="J182" s="130" t="str">
        <f t="shared" si="23"/>
        <v/>
      </c>
    </row>
    <row r="183" spans="1:10" ht="15" customHeight="1" x14ac:dyDescent="0.25">
      <c r="A183" s="93"/>
      <c r="B183" s="93"/>
      <c r="C183" s="97" t="str">
        <f t="shared" si="20"/>
        <v/>
      </c>
      <c r="D183" s="97" t="str">
        <f t="shared" si="21"/>
        <v/>
      </c>
      <c r="E183" s="93"/>
      <c r="F183" s="93"/>
      <c r="G183" s="93"/>
      <c r="H183" s="95" t="str">
        <f t="shared" si="22"/>
        <v/>
      </c>
      <c r="I183" s="93"/>
      <c r="J183" s="130" t="str">
        <f t="shared" si="23"/>
        <v/>
      </c>
    </row>
    <row r="184" spans="1:10" ht="15" customHeight="1" x14ac:dyDescent="0.25">
      <c r="A184" s="93"/>
      <c r="B184" s="93"/>
      <c r="C184" s="97" t="str">
        <f t="shared" si="20"/>
        <v/>
      </c>
      <c r="D184" s="97" t="str">
        <f t="shared" si="21"/>
        <v/>
      </c>
      <c r="E184" s="93"/>
      <c r="F184" s="93"/>
      <c r="G184" s="93"/>
      <c r="H184" s="95" t="str">
        <f t="shared" si="22"/>
        <v/>
      </c>
      <c r="I184" s="93"/>
      <c r="J184" s="130" t="str">
        <f t="shared" si="23"/>
        <v/>
      </c>
    </row>
    <row r="185" spans="1:10" ht="15" customHeight="1" x14ac:dyDescent="0.25">
      <c r="A185" s="93"/>
      <c r="B185" s="93"/>
      <c r="C185" s="97" t="str">
        <f t="shared" si="20"/>
        <v/>
      </c>
      <c r="D185" s="97" t="str">
        <f t="shared" si="21"/>
        <v/>
      </c>
      <c r="E185" s="93"/>
      <c r="F185" s="93"/>
      <c r="G185" s="93"/>
      <c r="H185" s="95" t="str">
        <f t="shared" si="22"/>
        <v/>
      </c>
      <c r="I185" s="93"/>
      <c r="J185" s="130" t="str">
        <f t="shared" si="23"/>
        <v/>
      </c>
    </row>
    <row r="186" spans="1:10" ht="15" customHeight="1" x14ac:dyDescent="0.25">
      <c r="A186" s="93"/>
      <c r="B186" s="93"/>
      <c r="C186" s="97" t="str">
        <f t="shared" si="20"/>
        <v/>
      </c>
      <c r="D186" s="97" t="str">
        <f t="shared" si="21"/>
        <v/>
      </c>
      <c r="E186" s="93"/>
      <c r="F186" s="93"/>
      <c r="G186" s="93"/>
      <c r="H186" s="95" t="str">
        <f t="shared" si="22"/>
        <v/>
      </c>
      <c r="I186" s="93"/>
      <c r="J186" s="130" t="str">
        <f t="shared" si="23"/>
        <v/>
      </c>
    </row>
    <row r="187" spans="1:10" ht="15" customHeight="1" x14ac:dyDescent="0.25">
      <c r="A187" s="93"/>
      <c r="B187" s="93"/>
      <c r="C187" s="97" t="str">
        <f t="shared" si="20"/>
        <v/>
      </c>
      <c r="D187" s="97" t="str">
        <f t="shared" si="21"/>
        <v/>
      </c>
      <c r="E187" s="93"/>
      <c r="F187" s="93"/>
      <c r="G187" s="93"/>
      <c r="H187" s="95" t="str">
        <f t="shared" si="22"/>
        <v/>
      </c>
      <c r="I187" s="93"/>
      <c r="J187" s="130" t="str">
        <f t="shared" si="23"/>
        <v/>
      </c>
    </row>
    <row r="188" spans="1:10" ht="15" customHeight="1" x14ac:dyDescent="0.25">
      <c r="A188" s="93"/>
      <c r="B188" s="93"/>
      <c r="C188" s="97" t="str">
        <f t="shared" si="20"/>
        <v/>
      </c>
      <c r="D188" s="97" t="str">
        <f t="shared" si="21"/>
        <v/>
      </c>
      <c r="E188" s="93"/>
      <c r="F188" s="93"/>
      <c r="G188" s="93"/>
      <c r="H188" s="95" t="str">
        <f t="shared" si="22"/>
        <v/>
      </c>
      <c r="I188" s="93"/>
      <c r="J188" s="130" t="str">
        <f t="shared" si="23"/>
        <v/>
      </c>
    </row>
    <row r="189" spans="1:10" ht="15" customHeight="1" x14ac:dyDescent="0.25">
      <c r="A189" s="93"/>
      <c r="B189" s="93"/>
      <c r="C189" s="97" t="str">
        <f t="shared" si="20"/>
        <v/>
      </c>
      <c r="D189" s="97" t="str">
        <f t="shared" si="21"/>
        <v/>
      </c>
      <c r="E189" s="93"/>
      <c r="F189" s="93"/>
      <c r="G189" s="93"/>
      <c r="H189" s="95" t="str">
        <f t="shared" si="22"/>
        <v/>
      </c>
      <c r="I189" s="93"/>
      <c r="J189" s="130" t="str">
        <f t="shared" si="23"/>
        <v/>
      </c>
    </row>
    <row r="190" spans="1:10" ht="15" customHeight="1" x14ac:dyDescent="0.25">
      <c r="A190" s="93"/>
      <c r="B190" s="93"/>
      <c r="C190" s="97" t="str">
        <f t="shared" si="20"/>
        <v/>
      </c>
      <c r="D190" s="97" t="str">
        <f t="shared" si="21"/>
        <v/>
      </c>
      <c r="E190" s="93"/>
      <c r="F190" s="93"/>
      <c r="G190" s="93"/>
      <c r="H190" s="95" t="str">
        <f t="shared" si="22"/>
        <v/>
      </c>
      <c r="I190" s="93"/>
      <c r="J190" s="130" t="str">
        <f t="shared" si="23"/>
        <v/>
      </c>
    </row>
    <row r="191" spans="1:10" ht="15" customHeight="1" x14ac:dyDescent="0.25">
      <c r="A191" s="93"/>
      <c r="B191" s="93"/>
      <c r="C191" s="97" t="str">
        <f t="shared" si="20"/>
        <v/>
      </c>
      <c r="D191" s="97" t="str">
        <f t="shared" si="21"/>
        <v/>
      </c>
      <c r="E191" s="93"/>
      <c r="F191" s="93"/>
      <c r="G191" s="93"/>
      <c r="H191" s="95" t="str">
        <f t="shared" si="22"/>
        <v/>
      </c>
      <c r="I191" s="93"/>
      <c r="J191" s="130" t="str">
        <f t="shared" si="23"/>
        <v/>
      </c>
    </row>
    <row r="192" spans="1:10" ht="15" customHeight="1" x14ac:dyDescent="0.25">
      <c r="A192" s="93"/>
      <c r="B192" s="93"/>
      <c r="C192" s="97" t="str">
        <f t="shared" si="20"/>
        <v/>
      </c>
      <c r="D192" s="97" t="str">
        <f t="shared" si="21"/>
        <v/>
      </c>
      <c r="E192" s="93"/>
      <c r="F192" s="93"/>
      <c r="G192" s="93"/>
      <c r="H192" s="95" t="str">
        <f t="shared" si="22"/>
        <v/>
      </c>
      <c r="I192" s="93"/>
      <c r="J192" s="130" t="str">
        <f t="shared" si="23"/>
        <v/>
      </c>
    </row>
    <row r="193" spans="1:10" ht="15" customHeight="1" x14ac:dyDescent="0.25">
      <c r="A193" s="93"/>
      <c r="B193" s="93"/>
      <c r="C193" s="97" t="str">
        <f t="shared" si="20"/>
        <v/>
      </c>
      <c r="D193" s="97" t="str">
        <f t="shared" si="21"/>
        <v/>
      </c>
      <c r="E193" s="93"/>
      <c r="F193" s="93"/>
      <c r="G193" s="93"/>
      <c r="H193" s="95" t="str">
        <f t="shared" si="22"/>
        <v/>
      </c>
      <c r="I193" s="93"/>
      <c r="J193" s="130" t="str">
        <f t="shared" si="23"/>
        <v/>
      </c>
    </row>
    <row r="194" spans="1:10" ht="15" customHeight="1" x14ac:dyDescent="0.25">
      <c r="A194" s="93"/>
      <c r="B194" s="93"/>
      <c r="C194" s="97" t="str">
        <f t="shared" si="20"/>
        <v/>
      </c>
      <c r="D194" s="97" t="str">
        <f t="shared" si="21"/>
        <v/>
      </c>
      <c r="E194" s="93"/>
      <c r="F194" s="93"/>
      <c r="G194" s="93"/>
      <c r="H194" s="95" t="str">
        <f t="shared" si="22"/>
        <v/>
      </c>
      <c r="I194" s="93"/>
      <c r="J194" s="130" t="str">
        <f t="shared" si="23"/>
        <v/>
      </c>
    </row>
    <row r="195" spans="1:10" ht="15" customHeight="1" x14ac:dyDescent="0.25">
      <c r="A195" s="93"/>
      <c r="B195" s="93"/>
      <c r="C195" s="97" t="str">
        <f t="shared" ref="C195:C202" si="24">IFERROR(VLOOKUP(B195,Staff_Table,2,FALSE()),"")</f>
        <v/>
      </c>
      <c r="D195" s="97" t="str">
        <f t="shared" ref="D195:D202" si="25">IFERROR(VLOOKUP(B195,Staff_Table,4,FALSE()),"")</f>
        <v/>
      </c>
      <c r="E195" s="93"/>
      <c r="F195" s="93"/>
      <c r="G195" s="93"/>
      <c r="H195" s="95" t="str">
        <f t="shared" ref="H195:H202" si="26">IFERROR(VLOOKUP(B195,Staff_Table,7,FALSE()),"")</f>
        <v/>
      </c>
      <c r="I195" s="93"/>
      <c r="J195" s="130" t="str">
        <f t="shared" ref="J195:J202" si="27">IFERROR(IF(B195="","",(G195*H195)+(I195*H195*Rate_Overtime_Mult)),0)</f>
        <v/>
      </c>
    </row>
    <row r="196" spans="1:10" ht="15" customHeight="1" x14ac:dyDescent="0.25">
      <c r="A196" s="93"/>
      <c r="B196" s="93"/>
      <c r="C196" s="97" t="str">
        <f t="shared" si="24"/>
        <v/>
      </c>
      <c r="D196" s="97" t="str">
        <f t="shared" si="25"/>
        <v/>
      </c>
      <c r="E196" s="93"/>
      <c r="F196" s="93"/>
      <c r="G196" s="93"/>
      <c r="H196" s="95" t="str">
        <f t="shared" si="26"/>
        <v/>
      </c>
      <c r="I196" s="93"/>
      <c r="J196" s="130" t="str">
        <f t="shared" si="27"/>
        <v/>
      </c>
    </row>
    <row r="197" spans="1:10" ht="15" customHeight="1" x14ac:dyDescent="0.25">
      <c r="A197" s="93"/>
      <c r="B197" s="93"/>
      <c r="C197" s="97" t="str">
        <f t="shared" si="24"/>
        <v/>
      </c>
      <c r="D197" s="97" t="str">
        <f t="shared" si="25"/>
        <v/>
      </c>
      <c r="E197" s="93"/>
      <c r="F197" s="93"/>
      <c r="G197" s="93"/>
      <c r="H197" s="95" t="str">
        <f t="shared" si="26"/>
        <v/>
      </c>
      <c r="I197" s="93"/>
      <c r="J197" s="130" t="str">
        <f t="shared" si="27"/>
        <v/>
      </c>
    </row>
    <row r="198" spans="1:10" ht="15" customHeight="1" x14ac:dyDescent="0.25">
      <c r="A198" s="93"/>
      <c r="B198" s="93"/>
      <c r="C198" s="97" t="str">
        <f t="shared" si="24"/>
        <v/>
      </c>
      <c r="D198" s="97" t="str">
        <f t="shared" si="25"/>
        <v/>
      </c>
      <c r="E198" s="93"/>
      <c r="F198" s="93"/>
      <c r="G198" s="93"/>
      <c r="H198" s="95" t="str">
        <f t="shared" si="26"/>
        <v/>
      </c>
      <c r="I198" s="93"/>
      <c r="J198" s="130" t="str">
        <f t="shared" si="27"/>
        <v/>
      </c>
    </row>
    <row r="199" spans="1:10" ht="15" customHeight="1" x14ac:dyDescent="0.25">
      <c r="A199" s="93"/>
      <c r="B199" s="93"/>
      <c r="C199" s="97" t="str">
        <f t="shared" si="24"/>
        <v/>
      </c>
      <c r="D199" s="97" t="str">
        <f t="shared" si="25"/>
        <v/>
      </c>
      <c r="E199" s="93"/>
      <c r="F199" s="93"/>
      <c r="G199" s="93"/>
      <c r="H199" s="95" t="str">
        <f t="shared" si="26"/>
        <v/>
      </c>
      <c r="I199" s="93"/>
      <c r="J199" s="130" t="str">
        <f t="shared" si="27"/>
        <v/>
      </c>
    </row>
    <row r="200" spans="1:10" ht="15" customHeight="1" x14ac:dyDescent="0.25">
      <c r="A200" s="93"/>
      <c r="B200" s="93"/>
      <c r="C200" s="97" t="str">
        <f t="shared" si="24"/>
        <v/>
      </c>
      <c r="D200" s="97" t="str">
        <f t="shared" si="25"/>
        <v/>
      </c>
      <c r="E200" s="93"/>
      <c r="F200" s="93"/>
      <c r="G200" s="93"/>
      <c r="H200" s="95" t="str">
        <f t="shared" si="26"/>
        <v/>
      </c>
      <c r="I200" s="93"/>
      <c r="J200" s="130" t="str">
        <f t="shared" si="27"/>
        <v/>
      </c>
    </row>
    <row r="201" spans="1:10" ht="15" customHeight="1" x14ac:dyDescent="0.25">
      <c r="A201" s="93"/>
      <c r="B201" s="93"/>
      <c r="C201" s="97" t="str">
        <f t="shared" si="24"/>
        <v/>
      </c>
      <c r="D201" s="97" t="str">
        <f t="shared" si="25"/>
        <v/>
      </c>
      <c r="E201" s="93"/>
      <c r="F201" s="93"/>
      <c r="G201" s="93"/>
      <c r="H201" s="95" t="str">
        <f t="shared" si="26"/>
        <v/>
      </c>
      <c r="I201" s="93"/>
      <c r="J201" s="130" t="str">
        <f t="shared" si="27"/>
        <v/>
      </c>
    </row>
    <row r="202" spans="1:10" ht="15" customHeight="1" x14ac:dyDescent="0.25">
      <c r="A202" s="93"/>
      <c r="B202" s="93"/>
      <c r="C202" s="97" t="str">
        <f t="shared" si="24"/>
        <v/>
      </c>
      <c r="D202" s="97" t="str">
        <f t="shared" si="25"/>
        <v/>
      </c>
      <c r="E202" s="93"/>
      <c r="F202" s="93"/>
      <c r="G202" s="93"/>
      <c r="H202" s="95" t="str">
        <f t="shared" si="26"/>
        <v/>
      </c>
      <c r="I202" s="93"/>
      <c r="J202" s="130" t="str">
        <f t="shared" si="27"/>
        <v/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J1"/>
  </mergeCells>
  <dataValidations count="1">
    <dataValidation type="list" allowBlank="1" sqref="B3:B202" xr:uid="{00000000-0002-0000-0D00-000000000000}">
      <formula1>Staff_IDs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K62"/>
  <sheetViews>
    <sheetView zoomScaleNormal="100" workbookViewId="0">
      <pane ySplit="2" topLeftCell="A3" activePane="bottomLeft" state="frozen"/>
      <selection pane="bottomLeft" sqref="A1:K1"/>
    </sheetView>
  </sheetViews>
  <sheetFormatPr defaultColWidth="8.7109375" defaultRowHeight="15" x14ac:dyDescent="0.25"/>
  <cols>
    <col min="1" max="1" width="10" customWidth="1"/>
    <col min="2" max="2" width="12" customWidth="1"/>
    <col min="3" max="3" width="16" customWidth="1"/>
    <col min="4" max="4" width="22" customWidth="1"/>
    <col min="5" max="5" width="20" customWidth="1"/>
    <col min="6" max="6" width="30" customWidth="1"/>
    <col min="7" max="7" width="16" customWidth="1"/>
    <col min="8" max="8" width="14" customWidth="1"/>
    <col min="9" max="9" width="16" customWidth="1"/>
    <col min="10" max="10" width="12" customWidth="1"/>
    <col min="11" max="11" width="14" customWidth="1"/>
  </cols>
  <sheetData>
    <row r="1" spans="1:11" ht="30" customHeight="1" x14ac:dyDescent="0.25">
      <c r="A1" s="71" t="s">
        <v>796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7.75" customHeight="1" x14ac:dyDescent="0.25">
      <c r="A2" s="63" t="s">
        <v>797</v>
      </c>
      <c r="B2" s="63" t="s">
        <v>20</v>
      </c>
      <c r="C2" s="63" t="s">
        <v>798</v>
      </c>
      <c r="D2" s="63" t="s">
        <v>799</v>
      </c>
      <c r="E2" s="63" t="s">
        <v>800</v>
      </c>
      <c r="F2" s="63" t="s">
        <v>801</v>
      </c>
      <c r="G2" s="63" t="s">
        <v>802</v>
      </c>
      <c r="H2" s="63" t="s">
        <v>803</v>
      </c>
      <c r="I2" s="63" t="s">
        <v>804</v>
      </c>
      <c r="J2" s="63" t="s">
        <v>339</v>
      </c>
      <c r="K2" s="63" t="s">
        <v>23</v>
      </c>
    </row>
    <row r="3" spans="1:11" ht="26.25" customHeight="1" x14ac:dyDescent="0.25">
      <c r="A3" s="92" t="s">
        <v>805</v>
      </c>
      <c r="B3" s="93" t="s">
        <v>312</v>
      </c>
      <c r="C3" s="93" t="s">
        <v>806</v>
      </c>
      <c r="D3" s="93" t="s">
        <v>807</v>
      </c>
      <c r="E3" s="93" t="s">
        <v>808</v>
      </c>
      <c r="F3" s="106" t="s">
        <v>809</v>
      </c>
      <c r="G3" s="100">
        <v>1200</v>
      </c>
      <c r="H3" s="100">
        <v>600</v>
      </c>
      <c r="I3" s="104">
        <f t="shared" ref="I3:I34" si="0">IFERROR(G3-H3,0)</f>
        <v>600</v>
      </c>
      <c r="J3" s="94">
        <v>46140</v>
      </c>
      <c r="K3" s="93" t="s">
        <v>810</v>
      </c>
    </row>
    <row r="4" spans="1:11" ht="26.25" customHeight="1" x14ac:dyDescent="0.25">
      <c r="A4" s="92" t="s">
        <v>811</v>
      </c>
      <c r="B4" s="93" t="s">
        <v>312</v>
      </c>
      <c r="C4" s="93" t="s">
        <v>812</v>
      </c>
      <c r="D4" s="93" t="s">
        <v>813</v>
      </c>
      <c r="E4" s="93" t="s">
        <v>814</v>
      </c>
      <c r="F4" s="106" t="s">
        <v>815</v>
      </c>
      <c r="G4" s="100">
        <v>280</v>
      </c>
      <c r="H4" s="100">
        <v>0</v>
      </c>
      <c r="I4" s="104">
        <f t="shared" si="0"/>
        <v>280</v>
      </c>
      <c r="J4" s="94">
        <v>46137</v>
      </c>
      <c r="K4" s="93" t="s">
        <v>816</v>
      </c>
    </row>
    <row r="5" spans="1:11" ht="26.25" customHeight="1" x14ac:dyDescent="0.25">
      <c r="A5" s="92" t="s">
        <v>817</v>
      </c>
      <c r="B5" s="93" t="s">
        <v>373</v>
      </c>
      <c r="C5" s="93" t="s">
        <v>818</v>
      </c>
      <c r="D5" s="93" t="s">
        <v>819</v>
      </c>
      <c r="E5" s="93" t="s">
        <v>820</v>
      </c>
      <c r="F5" s="106" t="s">
        <v>821</v>
      </c>
      <c r="G5" s="100">
        <v>450</v>
      </c>
      <c r="H5" s="100">
        <v>0</v>
      </c>
      <c r="I5" s="104">
        <f t="shared" si="0"/>
        <v>450</v>
      </c>
      <c r="J5" s="94">
        <v>46139</v>
      </c>
      <c r="K5" s="93" t="s">
        <v>822</v>
      </c>
    </row>
    <row r="6" spans="1:11" ht="26.25" customHeight="1" x14ac:dyDescent="0.25">
      <c r="A6" s="92" t="s">
        <v>823</v>
      </c>
      <c r="B6" s="93" t="s">
        <v>324</v>
      </c>
      <c r="C6" s="93" t="s">
        <v>812</v>
      </c>
      <c r="D6" s="93" t="s">
        <v>813</v>
      </c>
      <c r="E6" s="93" t="s">
        <v>814</v>
      </c>
      <c r="F6" s="106" t="s">
        <v>824</v>
      </c>
      <c r="G6" s="100">
        <v>900</v>
      </c>
      <c r="H6" s="100">
        <v>0</v>
      </c>
      <c r="I6" s="104">
        <f t="shared" si="0"/>
        <v>900</v>
      </c>
      <c r="J6" s="94">
        <v>46157</v>
      </c>
      <c r="K6" s="93" t="s">
        <v>816</v>
      </c>
    </row>
    <row r="7" spans="1:11" ht="26.25" customHeight="1" x14ac:dyDescent="0.25">
      <c r="A7" s="92" t="s">
        <v>825</v>
      </c>
      <c r="B7" s="93" t="s">
        <v>328</v>
      </c>
      <c r="C7" s="93" t="s">
        <v>806</v>
      </c>
      <c r="D7" s="93" t="s">
        <v>807</v>
      </c>
      <c r="E7" s="93" t="s">
        <v>808</v>
      </c>
      <c r="F7" s="106" t="s">
        <v>826</v>
      </c>
      <c r="G7" s="100">
        <v>2400</v>
      </c>
      <c r="H7" s="100">
        <v>0</v>
      </c>
      <c r="I7" s="104">
        <f t="shared" si="0"/>
        <v>2400</v>
      </c>
      <c r="J7" s="94">
        <v>46183</v>
      </c>
      <c r="K7" s="93" t="s">
        <v>816</v>
      </c>
    </row>
    <row r="8" spans="1:11" ht="15" customHeight="1" x14ac:dyDescent="0.25">
      <c r="A8" s="77"/>
      <c r="B8" s="77"/>
      <c r="C8" s="77"/>
      <c r="D8" s="77"/>
      <c r="E8" s="77"/>
      <c r="F8" s="76"/>
      <c r="G8" s="77"/>
      <c r="H8" s="77"/>
      <c r="I8" s="104">
        <f t="shared" si="0"/>
        <v>0</v>
      </c>
      <c r="J8" s="77"/>
      <c r="K8" s="77"/>
    </row>
    <row r="9" spans="1:11" ht="15" customHeight="1" x14ac:dyDescent="0.25">
      <c r="A9" s="77"/>
      <c r="B9" s="77"/>
      <c r="C9" s="77"/>
      <c r="D9" s="77"/>
      <c r="E9" s="77"/>
      <c r="F9" s="76"/>
      <c r="G9" s="77"/>
      <c r="H9" s="77"/>
      <c r="I9" s="104">
        <f t="shared" si="0"/>
        <v>0</v>
      </c>
      <c r="J9" s="77"/>
      <c r="K9" s="77"/>
    </row>
    <row r="10" spans="1:11" ht="15" customHeight="1" x14ac:dyDescent="0.25">
      <c r="A10" s="77"/>
      <c r="B10" s="77"/>
      <c r="C10" s="77"/>
      <c r="D10" s="77"/>
      <c r="E10" s="77"/>
      <c r="F10" s="76"/>
      <c r="G10" s="77"/>
      <c r="H10" s="77"/>
      <c r="I10" s="104">
        <f t="shared" si="0"/>
        <v>0</v>
      </c>
      <c r="J10" s="77"/>
      <c r="K10" s="77"/>
    </row>
    <row r="11" spans="1:11" ht="15" customHeight="1" x14ac:dyDescent="0.25">
      <c r="A11" s="77"/>
      <c r="B11" s="77"/>
      <c r="C11" s="77"/>
      <c r="D11" s="77"/>
      <c r="E11" s="77"/>
      <c r="F11" s="76"/>
      <c r="G11" s="77"/>
      <c r="H11" s="77"/>
      <c r="I11" s="104">
        <f t="shared" si="0"/>
        <v>0</v>
      </c>
      <c r="J11" s="77"/>
      <c r="K11" s="77"/>
    </row>
    <row r="12" spans="1:11" ht="15" customHeight="1" x14ac:dyDescent="0.25">
      <c r="A12" s="77"/>
      <c r="B12" s="77"/>
      <c r="C12" s="77"/>
      <c r="D12" s="77"/>
      <c r="E12" s="77"/>
      <c r="F12" s="76"/>
      <c r="G12" s="77"/>
      <c r="H12" s="77"/>
      <c r="I12" s="104">
        <f t="shared" si="0"/>
        <v>0</v>
      </c>
      <c r="J12" s="77"/>
      <c r="K12" s="77"/>
    </row>
    <row r="13" spans="1:11" ht="15" customHeight="1" x14ac:dyDescent="0.25">
      <c r="A13" s="77"/>
      <c r="B13" s="77"/>
      <c r="C13" s="77"/>
      <c r="D13" s="77"/>
      <c r="E13" s="77"/>
      <c r="F13" s="76"/>
      <c r="G13" s="77"/>
      <c r="H13" s="77"/>
      <c r="I13" s="104">
        <f t="shared" si="0"/>
        <v>0</v>
      </c>
      <c r="J13" s="77"/>
      <c r="K13" s="77"/>
    </row>
    <row r="14" spans="1:11" ht="15" customHeight="1" x14ac:dyDescent="0.25">
      <c r="A14" s="77"/>
      <c r="B14" s="77"/>
      <c r="C14" s="77"/>
      <c r="D14" s="77"/>
      <c r="E14" s="77"/>
      <c r="F14" s="76"/>
      <c r="G14" s="77"/>
      <c r="H14" s="77"/>
      <c r="I14" s="104">
        <f t="shared" si="0"/>
        <v>0</v>
      </c>
      <c r="J14" s="77"/>
      <c r="K14" s="77"/>
    </row>
    <row r="15" spans="1:11" ht="15" customHeight="1" x14ac:dyDescent="0.25">
      <c r="A15" s="77"/>
      <c r="B15" s="77"/>
      <c r="C15" s="77"/>
      <c r="D15" s="77"/>
      <c r="E15" s="77"/>
      <c r="F15" s="76"/>
      <c r="G15" s="77"/>
      <c r="H15" s="77"/>
      <c r="I15" s="104">
        <f t="shared" si="0"/>
        <v>0</v>
      </c>
      <c r="J15" s="77"/>
      <c r="K15" s="77"/>
    </row>
    <row r="16" spans="1:11" ht="15" customHeight="1" x14ac:dyDescent="0.25">
      <c r="A16" s="77"/>
      <c r="B16" s="77"/>
      <c r="C16" s="77"/>
      <c r="D16" s="77"/>
      <c r="E16" s="77"/>
      <c r="F16" s="76"/>
      <c r="G16" s="77"/>
      <c r="H16" s="77"/>
      <c r="I16" s="104">
        <f t="shared" si="0"/>
        <v>0</v>
      </c>
      <c r="J16" s="77"/>
      <c r="K16" s="77"/>
    </row>
    <row r="17" spans="1:11" ht="15" customHeight="1" x14ac:dyDescent="0.25">
      <c r="A17" s="77"/>
      <c r="B17" s="77"/>
      <c r="C17" s="77"/>
      <c r="D17" s="77"/>
      <c r="E17" s="77"/>
      <c r="F17" s="76"/>
      <c r="G17" s="77"/>
      <c r="H17" s="77"/>
      <c r="I17" s="104">
        <f t="shared" si="0"/>
        <v>0</v>
      </c>
      <c r="J17" s="77"/>
      <c r="K17" s="77"/>
    </row>
    <row r="18" spans="1:11" ht="15" customHeight="1" x14ac:dyDescent="0.25">
      <c r="A18" s="77"/>
      <c r="B18" s="77"/>
      <c r="C18" s="77"/>
      <c r="D18" s="77"/>
      <c r="E18" s="77"/>
      <c r="F18" s="76"/>
      <c r="G18" s="77"/>
      <c r="H18" s="77"/>
      <c r="I18" s="104">
        <f t="shared" si="0"/>
        <v>0</v>
      </c>
      <c r="J18" s="77"/>
      <c r="K18" s="77"/>
    </row>
    <row r="19" spans="1:11" ht="15" customHeight="1" x14ac:dyDescent="0.25">
      <c r="A19" s="77"/>
      <c r="B19" s="77"/>
      <c r="C19" s="77"/>
      <c r="D19" s="77"/>
      <c r="E19" s="77"/>
      <c r="F19" s="76"/>
      <c r="G19" s="77"/>
      <c r="H19" s="77"/>
      <c r="I19" s="104">
        <f t="shared" si="0"/>
        <v>0</v>
      </c>
      <c r="J19" s="77"/>
      <c r="K19" s="77"/>
    </row>
    <row r="20" spans="1:11" ht="15" customHeight="1" x14ac:dyDescent="0.25">
      <c r="A20" s="77"/>
      <c r="B20" s="77"/>
      <c r="C20" s="77"/>
      <c r="D20" s="77"/>
      <c r="E20" s="77"/>
      <c r="F20" s="76"/>
      <c r="G20" s="77"/>
      <c r="H20" s="77"/>
      <c r="I20" s="104">
        <f t="shared" si="0"/>
        <v>0</v>
      </c>
      <c r="J20" s="77"/>
      <c r="K20" s="77"/>
    </row>
    <row r="21" spans="1:11" ht="15" customHeight="1" x14ac:dyDescent="0.25">
      <c r="A21" s="77"/>
      <c r="B21" s="77"/>
      <c r="C21" s="77"/>
      <c r="D21" s="77"/>
      <c r="E21" s="77"/>
      <c r="F21" s="76"/>
      <c r="G21" s="77"/>
      <c r="H21" s="77"/>
      <c r="I21" s="104">
        <f t="shared" si="0"/>
        <v>0</v>
      </c>
      <c r="J21" s="77"/>
      <c r="K21" s="77"/>
    </row>
    <row r="22" spans="1:11" ht="15" customHeight="1" x14ac:dyDescent="0.25">
      <c r="A22" s="77"/>
      <c r="B22" s="77"/>
      <c r="C22" s="77"/>
      <c r="D22" s="77"/>
      <c r="E22" s="77"/>
      <c r="F22" s="76"/>
      <c r="G22" s="77"/>
      <c r="H22" s="77"/>
      <c r="I22" s="104">
        <f t="shared" si="0"/>
        <v>0</v>
      </c>
      <c r="J22" s="77"/>
      <c r="K22" s="77"/>
    </row>
    <row r="23" spans="1:11" ht="15" customHeight="1" x14ac:dyDescent="0.25">
      <c r="A23" s="77"/>
      <c r="B23" s="77"/>
      <c r="C23" s="77"/>
      <c r="D23" s="77"/>
      <c r="E23" s="77"/>
      <c r="F23" s="76"/>
      <c r="G23" s="77"/>
      <c r="H23" s="77"/>
      <c r="I23" s="104">
        <f t="shared" si="0"/>
        <v>0</v>
      </c>
      <c r="J23" s="77"/>
      <c r="K23" s="77"/>
    </row>
    <row r="24" spans="1:11" ht="15" customHeight="1" x14ac:dyDescent="0.25">
      <c r="A24" s="77"/>
      <c r="B24" s="77"/>
      <c r="C24" s="77"/>
      <c r="D24" s="77"/>
      <c r="E24" s="77"/>
      <c r="F24" s="76"/>
      <c r="G24" s="77"/>
      <c r="H24" s="77"/>
      <c r="I24" s="104">
        <f t="shared" si="0"/>
        <v>0</v>
      </c>
      <c r="J24" s="77"/>
      <c r="K24" s="77"/>
    </row>
    <row r="25" spans="1:11" ht="15" customHeight="1" x14ac:dyDescent="0.25">
      <c r="A25" s="77"/>
      <c r="B25" s="77"/>
      <c r="C25" s="77"/>
      <c r="D25" s="77"/>
      <c r="E25" s="77"/>
      <c r="F25" s="76"/>
      <c r="G25" s="77"/>
      <c r="H25" s="77"/>
      <c r="I25" s="104">
        <f t="shared" si="0"/>
        <v>0</v>
      </c>
      <c r="J25" s="77"/>
      <c r="K25" s="77"/>
    </row>
    <row r="26" spans="1:11" ht="15" customHeight="1" x14ac:dyDescent="0.25">
      <c r="A26" s="77"/>
      <c r="B26" s="77"/>
      <c r="C26" s="77"/>
      <c r="D26" s="77"/>
      <c r="E26" s="77"/>
      <c r="F26" s="76"/>
      <c r="G26" s="77"/>
      <c r="H26" s="77"/>
      <c r="I26" s="104">
        <f t="shared" si="0"/>
        <v>0</v>
      </c>
      <c r="J26" s="77"/>
      <c r="K26" s="77"/>
    </row>
    <row r="27" spans="1:11" ht="15" customHeight="1" x14ac:dyDescent="0.25">
      <c r="A27" s="77"/>
      <c r="B27" s="77"/>
      <c r="C27" s="77"/>
      <c r="D27" s="77"/>
      <c r="E27" s="77"/>
      <c r="F27" s="76"/>
      <c r="G27" s="77"/>
      <c r="H27" s="77"/>
      <c r="I27" s="104">
        <f t="shared" si="0"/>
        <v>0</v>
      </c>
      <c r="J27" s="77"/>
      <c r="K27" s="77"/>
    </row>
    <row r="28" spans="1:11" ht="15" customHeight="1" x14ac:dyDescent="0.25">
      <c r="A28" s="77"/>
      <c r="B28" s="77"/>
      <c r="C28" s="77"/>
      <c r="D28" s="77"/>
      <c r="E28" s="77"/>
      <c r="F28" s="76"/>
      <c r="G28" s="77"/>
      <c r="H28" s="77"/>
      <c r="I28" s="104">
        <f t="shared" si="0"/>
        <v>0</v>
      </c>
      <c r="J28" s="77"/>
      <c r="K28" s="77"/>
    </row>
    <row r="29" spans="1:11" ht="15" customHeight="1" x14ac:dyDescent="0.25">
      <c r="A29" s="77"/>
      <c r="B29" s="77"/>
      <c r="C29" s="77"/>
      <c r="D29" s="77"/>
      <c r="E29" s="77"/>
      <c r="F29" s="76"/>
      <c r="G29" s="77"/>
      <c r="H29" s="77"/>
      <c r="I29" s="104">
        <f t="shared" si="0"/>
        <v>0</v>
      </c>
      <c r="J29" s="77"/>
      <c r="K29" s="77"/>
    </row>
    <row r="30" spans="1:11" ht="15" customHeight="1" x14ac:dyDescent="0.25">
      <c r="A30" s="77"/>
      <c r="B30" s="77"/>
      <c r="C30" s="77"/>
      <c r="D30" s="77"/>
      <c r="E30" s="77"/>
      <c r="F30" s="76"/>
      <c r="G30" s="77"/>
      <c r="H30" s="77"/>
      <c r="I30" s="104">
        <f t="shared" si="0"/>
        <v>0</v>
      </c>
      <c r="J30" s="77"/>
      <c r="K30" s="77"/>
    </row>
    <row r="31" spans="1:11" ht="15" customHeight="1" x14ac:dyDescent="0.25">
      <c r="A31" s="77"/>
      <c r="B31" s="77"/>
      <c r="C31" s="77"/>
      <c r="D31" s="77"/>
      <c r="E31" s="77"/>
      <c r="F31" s="76"/>
      <c r="G31" s="77"/>
      <c r="H31" s="77"/>
      <c r="I31" s="104">
        <f t="shared" si="0"/>
        <v>0</v>
      </c>
      <c r="J31" s="77"/>
      <c r="K31" s="77"/>
    </row>
    <row r="32" spans="1:11" ht="15" customHeight="1" x14ac:dyDescent="0.25">
      <c r="A32" s="77"/>
      <c r="B32" s="77"/>
      <c r="C32" s="77"/>
      <c r="D32" s="77"/>
      <c r="E32" s="77"/>
      <c r="F32" s="76"/>
      <c r="G32" s="77"/>
      <c r="H32" s="77"/>
      <c r="I32" s="104">
        <f t="shared" si="0"/>
        <v>0</v>
      </c>
      <c r="J32" s="77"/>
      <c r="K32" s="77"/>
    </row>
    <row r="33" spans="1:11" ht="15" customHeight="1" x14ac:dyDescent="0.25">
      <c r="A33" s="77"/>
      <c r="B33" s="77"/>
      <c r="C33" s="77"/>
      <c r="D33" s="77"/>
      <c r="E33" s="77"/>
      <c r="F33" s="76"/>
      <c r="G33" s="77"/>
      <c r="H33" s="77"/>
      <c r="I33" s="104">
        <f t="shared" si="0"/>
        <v>0</v>
      </c>
      <c r="J33" s="77"/>
      <c r="K33" s="77"/>
    </row>
    <row r="34" spans="1:11" ht="15" customHeight="1" x14ac:dyDescent="0.25">
      <c r="A34" s="77"/>
      <c r="B34" s="77"/>
      <c r="C34" s="77"/>
      <c r="D34" s="77"/>
      <c r="E34" s="77"/>
      <c r="F34" s="76"/>
      <c r="G34" s="77"/>
      <c r="H34" s="77"/>
      <c r="I34" s="104">
        <f t="shared" si="0"/>
        <v>0</v>
      </c>
      <c r="J34" s="77"/>
      <c r="K34" s="77"/>
    </row>
    <row r="35" spans="1:11" ht="15" customHeight="1" x14ac:dyDescent="0.25">
      <c r="A35" s="77"/>
      <c r="B35" s="77"/>
      <c r="C35" s="77"/>
      <c r="D35" s="77"/>
      <c r="E35" s="77"/>
      <c r="F35" s="76"/>
      <c r="G35" s="77"/>
      <c r="H35" s="77"/>
      <c r="I35" s="104">
        <f t="shared" ref="I35:I62" si="1">IFERROR(G35-H35,0)</f>
        <v>0</v>
      </c>
      <c r="J35" s="77"/>
      <c r="K35" s="77"/>
    </row>
    <row r="36" spans="1:11" ht="15" customHeight="1" x14ac:dyDescent="0.25">
      <c r="A36" s="77"/>
      <c r="B36" s="77"/>
      <c r="C36" s="77"/>
      <c r="D36" s="77"/>
      <c r="E36" s="77"/>
      <c r="F36" s="76"/>
      <c r="G36" s="77"/>
      <c r="H36" s="77"/>
      <c r="I36" s="104">
        <f t="shared" si="1"/>
        <v>0</v>
      </c>
      <c r="J36" s="77"/>
      <c r="K36" s="77"/>
    </row>
    <row r="37" spans="1:11" ht="15" customHeight="1" x14ac:dyDescent="0.25">
      <c r="A37" s="77"/>
      <c r="B37" s="77"/>
      <c r="C37" s="77"/>
      <c r="D37" s="77"/>
      <c r="E37" s="77"/>
      <c r="F37" s="76"/>
      <c r="G37" s="77"/>
      <c r="H37" s="77"/>
      <c r="I37" s="104">
        <f t="shared" si="1"/>
        <v>0</v>
      </c>
      <c r="J37" s="77"/>
      <c r="K37" s="77"/>
    </row>
    <row r="38" spans="1:11" ht="15" customHeight="1" x14ac:dyDescent="0.25">
      <c r="A38" s="77"/>
      <c r="B38" s="77"/>
      <c r="C38" s="77"/>
      <c r="D38" s="77"/>
      <c r="E38" s="77"/>
      <c r="F38" s="76"/>
      <c r="G38" s="77"/>
      <c r="H38" s="77"/>
      <c r="I38" s="104">
        <f t="shared" si="1"/>
        <v>0</v>
      </c>
      <c r="J38" s="77"/>
      <c r="K38" s="77"/>
    </row>
    <row r="39" spans="1:11" ht="15" customHeight="1" x14ac:dyDescent="0.25">
      <c r="A39" s="77"/>
      <c r="B39" s="77"/>
      <c r="C39" s="77"/>
      <c r="D39" s="77"/>
      <c r="E39" s="77"/>
      <c r="F39" s="76"/>
      <c r="G39" s="77"/>
      <c r="H39" s="77"/>
      <c r="I39" s="104">
        <f t="shared" si="1"/>
        <v>0</v>
      </c>
      <c r="J39" s="77"/>
      <c r="K39" s="77"/>
    </row>
    <row r="40" spans="1:11" ht="15" customHeight="1" x14ac:dyDescent="0.25">
      <c r="A40" s="77"/>
      <c r="B40" s="77"/>
      <c r="C40" s="77"/>
      <c r="D40" s="77"/>
      <c r="E40" s="77"/>
      <c r="F40" s="76"/>
      <c r="G40" s="77"/>
      <c r="H40" s="77"/>
      <c r="I40" s="104">
        <f t="shared" si="1"/>
        <v>0</v>
      </c>
      <c r="J40" s="77"/>
      <c r="K40" s="77"/>
    </row>
    <row r="41" spans="1:11" ht="15" customHeight="1" x14ac:dyDescent="0.25">
      <c r="A41" s="77"/>
      <c r="B41" s="77"/>
      <c r="C41" s="77"/>
      <c r="D41" s="77"/>
      <c r="E41" s="77"/>
      <c r="F41" s="76"/>
      <c r="G41" s="77"/>
      <c r="H41" s="77"/>
      <c r="I41" s="104">
        <f t="shared" si="1"/>
        <v>0</v>
      </c>
      <c r="J41" s="77"/>
      <c r="K41" s="77"/>
    </row>
    <row r="42" spans="1:11" ht="15" customHeight="1" x14ac:dyDescent="0.25">
      <c r="A42" s="77"/>
      <c r="B42" s="77"/>
      <c r="C42" s="77"/>
      <c r="D42" s="77"/>
      <c r="E42" s="77"/>
      <c r="F42" s="76"/>
      <c r="G42" s="77"/>
      <c r="H42" s="77"/>
      <c r="I42" s="104">
        <f t="shared" si="1"/>
        <v>0</v>
      </c>
      <c r="J42" s="77"/>
      <c r="K42" s="77"/>
    </row>
    <row r="43" spans="1:11" ht="15" customHeight="1" x14ac:dyDescent="0.25">
      <c r="A43" s="77"/>
      <c r="B43" s="77"/>
      <c r="C43" s="77"/>
      <c r="D43" s="77"/>
      <c r="E43" s="77"/>
      <c r="F43" s="76"/>
      <c r="G43" s="77"/>
      <c r="H43" s="77"/>
      <c r="I43" s="104">
        <f t="shared" si="1"/>
        <v>0</v>
      </c>
      <c r="J43" s="77"/>
      <c r="K43" s="77"/>
    </row>
    <row r="44" spans="1:11" ht="15" customHeight="1" x14ac:dyDescent="0.25">
      <c r="A44" s="77"/>
      <c r="B44" s="77"/>
      <c r="C44" s="77"/>
      <c r="D44" s="77"/>
      <c r="E44" s="77"/>
      <c r="F44" s="76"/>
      <c r="G44" s="77"/>
      <c r="H44" s="77"/>
      <c r="I44" s="104">
        <f t="shared" si="1"/>
        <v>0</v>
      </c>
      <c r="J44" s="77"/>
      <c r="K44" s="77"/>
    </row>
    <row r="45" spans="1:11" ht="15" customHeight="1" x14ac:dyDescent="0.25">
      <c r="A45" s="77"/>
      <c r="B45" s="77"/>
      <c r="C45" s="77"/>
      <c r="D45" s="77"/>
      <c r="E45" s="77"/>
      <c r="F45" s="76"/>
      <c r="G45" s="77"/>
      <c r="H45" s="77"/>
      <c r="I45" s="104">
        <f t="shared" si="1"/>
        <v>0</v>
      </c>
      <c r="J45" s="77"/>
      <c r="K45" s="77"/>
    </row>
    <row r="46" spans="1:11" ht="15" customHeight="1" x14ac:dyDescent="0.25">
      <c r="A46" s="77"/>
      <c r="B46" s="77"/>
      <c r="C46" s="77"/>
      <c r="D46" s="77"/>
      <c r="E46" s="77"/>
      <c r="F46" s="76"/>
      <c r="G46" s="77"/>
      <c r="H46" s="77"/>
      <c r="I46" s="104">
        <f t="shared" si="1"/>
        <v>0</v>
      </c>
      <c r="J46" s="77"/>
      <c r="K46" s="77"/>
    </row>
    <row r="47" spans="1:11" ht="15" customHeight="1" x14ac:dyDescent="0.25">
      <c r="A47" s="77"/>
      <c r="B47" s="77"/>
      <c r="C47" s="77"/>
      <c r="D47" s="77"/>
      <c r="E47" s="77"/>
      <c r="F47" s="76"/>
      <c r="G47" s="77"/>
      <c r="H47" s="77"/>
      <c r="I47" s="104">
        <f t="shared" si="1"/>
        <v>0</v>
      </c>
      <c r="J47" s="77"/>
      <c r="K47" s="77"/>
    </row>
    <row r="48" spans="1:11" ht="15" customHeight="1" x14ac:dyDescent="0.25">
      <c r="A48" s="77"/>
      <c r="B48" s="77"/>
      <c r="C48" s="77"/>
      <c r="D48" s="77"/>
      <c r="E48" s="77"/>
      <c r="F48" s="76"/>
      <c r="G48" s="77"/>
      <c r="H48" s="77"/>
      <c r="I48" s="104">
        <f t="shared" si="1"/>
        <v>0</v>
      </c>
      <c r="J48" s="77"/>
      <c r="K48" s="77"/>
    </row>
    <row r="49" spans="1:11" ht="15" customHeight="1" x14ac:dyDescent="0.25">
      <c r="A49" s="77"/>
      <c r="B49" s="77"/>
      <c r="C49" s="77"/>
      <c r="D49" s="77"/>
      <c r="E49" s="77"/>
      <c r="F49" s="76"/>
      <c r="G49" s="77"/>
      <c r="H49" s="77"/>
      <c r="I49" s="104">
        <f t="shared" si="1"/>
        <v>0</v>
      </c>
      <c r="J49" s="77"/>
      <c r="K49" s="77"/>
    </row>
    <row r="50" spans="1:11" ht="15" customHeight="1" x14ac:dyDescent="0.25">
      <c r="A50" s="77"/>
      <c r="B50" s="77"/>
      <c r="C50" s="77"/>
      <c r="D50" s="77"/>
      <c r="E50" s="77"/>
      <c r="F50" s="76"/>
      <c r="G50" s="77"/>
      <c r="H50" s="77"/>
      <c r="I50" s="104">
        <f t="shared" si="1"/>
        <v>0</v>
      </c>
      <c r="J50" s="77"/>
      <c r="K50" s="77"/>
    </row>
    <row r="51" spans="1:11" ht="15" customHeight="1" x14ac:dyDescent="0.25">
      <c r="A51" s="77"/>
      <c r="B51" s="77"/>
      <c r="C51" s="77"/>
      <c r="D51" s="77"/>
      <c r="E51" s="77"/>
      <c r="F51" s="76"/>
      <c r="G51" s="77"/>
      <c r="H51" s="77"/>
      <c r="I51" s="104">
        <f t="shared" si="1"/>
        <v>0</v>
      </c>
      <c r="J51" s="77"/>
      <c r="K51" s="77"/>
    </row>
    <row r="52" spans="1:11" ht="15" customHeight="1" x14ac:dyDescent="0.25">
      <c r="A52" s="77"/>
      <c r="B52" s="77"/>
      <c r="C52" s="77"/>
      <c r="D52" s="77"/>
      <c r="E52" s="77"/>
      <c r="F52" s="76"/>
      <c r="G52" s="77"/>
      <c r="H52" s="77"/>
      <c r="I52" s="104">
        <f t="shared" si="1"/>
        <v>0</v>
      </c>
      <c r="J52" s="77"/>
      <c r="K52" s="77"/>
    </row>
    <row r="53" spans="1:11" ht="15" customHeight="1" x14ac:dyDescent="0.25">
      <c r="A53" s="77"/>
      <c r="B53" s="77"/>
      <c r="C53" s="77"/>
      <c r="D53" s="77"/>
      <c r="E53" s="77"/>
      <c r="F53" s="76"/>
      <c r="G53" s="77"/>
      <c r="H53" s="77"/>
      <c r="I53" s="104">
        <f t="shared" si="1"/>
        <v>0</v>
      </c>
      <c r="J53" s="77"/>
      <c r="K53" s="77"/>
    </row>
    <row r="54" spans="1:11" ht="15" customHeight="1" x14ac:dyDescent="0.25">
      <c r="A54" s="77"/>
      <c r="B54" s="77"/>
      <c r="C54" s="77"/>
      <c r="D54" s="77"/>
      <c r="E54" s="77"/>
      <c r="F54" s="76"/>
      <c r="G54" s="77"/>
      <c r="H54" s="77"/>
      <c r="I54" s="104">
        <f t="shared" si="1"/>
        <v>0</v>
      </c>
      <c r="J54" s="77"/>
      <c r="K54" s="77"/>
    </row>
    <row r="55" spans="1:11" ht="15" customHeight="1" x14ac:dyDescent="0.25">
      <c r="A55" s="77"/>
      <c r="B55" s="77"/>
      <c r="C55" s="77"/>
      <c r="D55" s="77"/>
      <c r="E55" s="77"/>
      <c r="F55" s="76"/>
      <c r="G55" s="77"/>
      <c r="H55" s="77"/>
      <c r="I55" s="104">
        <f t="shared" si="1"/>
        <v>0</v>
      </c>
      <c r="J55" s="77"/>
      <c r="K55" s="77"/>
    </row>
    <row r="56" spans="1:11" ht="15" customHeight="1" x14ac:dyDescent="0.25">
      <c r="A56" s="77"/>
      <c r="B56" s="77"/>
      <c r="C56" s="77"/>
      <c r="D56" s="77"/>
      <c r="E56" s="77"/>
      <c r="F56" s="76"/>
      <c r="G56" s="77"/>
      <c r="H56" s="77"/>
      <c r="I56" s="104">
        <f t="shared" si="1"/>
        <v>0</v>
      </c>
      <c r="J56" s="77"/>
      <c r="K56" s="77"/>
    </row>
    <row r="57" spans="1:11" ht="15" customHeight="1" x14ac:dyDescent="0.25">
      <c r="A57" s="77"/>
      <c r="B57" s="77"/>
      <c r="C57" s="77"/>
      <c r="D57" s="77"/>
      <c r="E57" s="77"/>
      <c r="F57" s="76"/>
      <c r="G57" s="77"/>
      <c r="H57" s="77"/>
      <c r="I57" s="104">
        <f t="shared" si="1"/>
        <v>0</v>
      </c>
      <c r="J57" s="77"/>
      <c r="K57" s="77"/>
    </row>
    <row r="58" spans="1:11" ht="15" customHeight="1" x14ac:dyDescent="0.25">
      <c r="A58" s="77"/>
      <c r="B58" s="77"/>
      <c r="C58" s="77"/>
      <c r="D58" s="77"/>
      <c r="E58" s="77"/>
      <c r="F58" s="76"/>
      <c r="G58" s="77"/>
      <c r="H58" s="77"/>
      <c r="I58" s="104">
        <f t="shared" si="1"/>
        <v>0</v>
      </c>
      <c r="J58" s="77"/>
      <c r="K58" s="77"/>
    </row>
    <row r="59" spans="1:11" ht="15" customHeight="1" x14ac:dyDescent="0.25">
      <c r="A59" s="77"/>
      <c r="B59" s="77"/>
      <c r="C59" s="77"/>
      <c r="D59" s="77"/>
      <c r="E59" s="77"/>
      <c r="F59" s="76"/>
      <c r="G59" s="77"/>
      <c r="H59" s="77"/>
      <c r="I59" s="104">
        <f t="shared" si="1"/>
        <v>0</v>
      </c>
      <c r="J59" s="77"/>
      <c r="K59" s="77"/>
    </row>
    <row r="60" spans="1:11" ht="15" customHeight="1" x14ac:dyDescent="0.25">
      <c r="A60" s="77"/>
      <c r="B60" s="77"/>
      <c r="C60" s="77"/>
      <c r="D60" s="77"/>
      <c r="E60" s="77"/>
      <c r="F60" s="76"/>
      <c r="G60" s="77"/>
      <c r="H60" s="77"/>
      <c r="I60" s="104">
        <f t="shared" si="1"/>
        <v>0</v>
      </c>
      <c r="J60" s="77"/>
      <c r="K60" s="77"/>
    </row>
    <row r="61" spans="1:11" ht="15" customHeight="1" x14ac:dyDescent="0.25">
      <c r="A61" s="77"/>
      <c r="B61" s="77"/>
      <c r="C61" s="77"/>
      <c r="D61" s="77"/>
      <c r="E61" s="77"/>
      <c r="F61" s="76"/>
      <c r="G61" s="77"/>
      <c r="H61" s="77"/>
      <c r="I61" s="104">
        <f t="shared" si="1"/>
        <v>0</v>
      </c>
      <c r="J61" s="77"/>
      <c r="K61" s="77"/>
    </row>
    <row r="62" spans="1:11" ht="15" customHeight="1" x14ac:dyDescent="0.25">
      <c r="A62" s="77"/>
      <c r="B62" s="77"/>
      <c r="C62" s="77"/>
      <c r="D62" s="77"/>
      <c r="E62" s="77"/>
      <c r="F62" s="76"/>
      <c r="G62" s="77"/>
      <c r="H62" s="77"/>
      <c r="I62" s="104">
        <f t="shared" si="1"/>
        <v>0</v>
      </c>
      <c r="J62" s="77"/>
      <c r="K62" s="77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K1"/>
  </mergeCells>
  <conditionalFormatting sqref="K3:K62">
    <cfRule type="expression" dxfId="52" priority="2">
      <formula>$K3="Completed"</formula>
    </cfRule>
    <cfRule type="expression" dxfId="51" priority="3">
      <formula>$K3="Paid"</formula>
    </cfRule>
  </conditionalFormatting>
  <dataValidations count="1">
    <dataValidation type="list" allowBlank="1" sqref="K3:K62" xr:uid="{00000000-0002-0000-0F00-000000000000}">
      <formula1>"Quoted,Confirmed,Ordered,In Progress,Completed,Paid,Cancelled"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F6B5A"/>
  </sheetPr>
  <dimension ref="A1:N102"/>
  <sheetViews>
    <sheetView zoomScaleNormal="100" workbookViewId="0">
      <pane ySplit="2" topLeftCell="A3" activePane="bottomLeft" state="frozen"/>
      <selection pane="bottomLeft" sqref="A1:N1"/>
    </sheetView>
  </sheetViews>
  <sheetFormatPr defaultColWidth="8.7109375" defaultRowHeight="15" x14ac:dyDescent="0.25"/>
  <cols>
    <col min="1" max="1" width="12" customWidth="1"/>
    <col min="2" max="2" width="22" customWidth="1"/>
    <col min="3" max="3" width="28" customWidth="1"/>
    <col min="4" max="4" width="12" customWidth="1"/>
    <col min="5" max="5" width="14" customWidth="1"/>
    <col min="6" max="6" width="10" customWidth="1"/>
    <col min="7" max="7" width="18" customWidth="1"/>
    <col min="8" max="8" width="16" customWidth="1"/>
    <col min="9" max="9" width="14" customWidth="1"/>
    <col min="10" max="10" width="12" customWidth="1"/>
    <col min="11" max="11" width="16" customWidth="1"/>
    <col min="12" max="12" width="22" customWidth="1"/>
    <col min="13" max="13" width="28" customWidth="1"/>
    <col min="14" max="14" width="14" customWidth="1"/>
  </cols>
  <sheetData>
    <row r="1" spans="1:14" ht="30" customHeight="1" x14ac:dyDescent="0.25">
      <c r="A1" s="71" t="s">
        <v>827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7.75" customHeight="1" x14ac:dyDescent="0.25">
      <c r="A2" s="63" t="s">
        <v>20</v>
      </c>
      <c r="B2" s="63" t="s">
        <v>19</v>
      </c>
      <c r="C2" s="63" t="s">
        <v>398</v>
      </c>
      <c r="D2" s="63" t="s">
        <v>21</v>
      </c>
      <c r="E2" s="63" t="s">
        <v>828</v>
      </c>
      <c r="F2" s="63" t="s">
        <v>829</v>
      </c>
      <c r="G2" s="63" t="s">
        <v>22</v>
      </c>
      <c r="H2" s="63" t="s">
        <v>830</v>
      </c>
      <c r="I2" s="63" t="s">
        <v>761</v>
      </c>
      <c r="J2" s="63" t="s">
        <v>831</v>
      </c>
      <c r="K2" s="63" t="s">
        <v>832</v>
      </c>
      <c r="L2" s="63" t="s">
        <v>833</v>
      </c>
      <c r="M2" s="63" t="s">
        <v>834</v>
      </c>
      <c r="N2" s="63" t="s">
        <v>23</v>
      </c>
    </row>
    <row r="3" spans="1:14" ht="26.25" customHeight="1" x14ac:dyDescent="0.25">
      <c r="A3" s="93" t="s">
        <v>312</v>
      </c>
      <c r="B3" s="93" t="s">
        <v>349</v>
      </c>
      <c r="C3" s="106" t="s">
        <v>407</v>
      </c>
      <c r="D3" s="93" t="s">
        <v>477</v>
      </c>
      <c r="E3" s="94">
        <v>46142</v>
      </c>
      <c r="F3" s="93" t="s">
        <v>835</v>
      </c>
      <c r="G3" s="93" t="s">
        <v>836</v>
      </c>
      <c r="H3" s="93" t="s">
        <v>837</v>
      </c>
      <c r="I3" s="93" t="s">
        <v>760</v>
      </c>
      <c r="J3" s="108">
        <v>22</v>
      </c>
      <c r="K3" s="95">
        <f>IF(A3="","",J3*Fuel_Cost_Per_Km+IF(D3="Installation",Install_Base_Fee,Delivery_Base_Fee))</f>
      </c>
      <c r="L3" s="93" t="s">
        <v>838</v>
      </c>
      <c r="M3" s="106" t="s">
        <v>839</v>
      </c>
      <c r="N3" s="93" t="s">
        <v>840</v>
      </c>
    </row>
    <row r="4" spans="1:14" ht="26.25" customHeight="1" x14ac:dyDescent="0.25">
      <c r="A4" s="93" t="s">
        <v>312</v>
      </c>
      <c r="B4" s="93" t="s">
        <v>349</v>
      </c>
      <c r="C4" s="106" t="s">
        <v>407</v>
      </c>
      <c r="D4" s="93" t="s">
        <v>478</v>
      </c>
      <c r="E4" s="94">
        <v>46144</v>
      </c>
      <c r="F4" s="93" t="s">
        <v>841</v>
      </c>
      <c r="G4" s="93" t="s">
        <v>842</v>
      </c>
      <c r="H4" s="93" t="s">
        <v>843</v>
      </c>
      <c r="I4" s="93" t="s">
        <v>766</v>
      </c>
      <c r="J4" s="108">
        <v>22</v>
      </c>
      <c r="K4" s="95">
        <f>IF(A4="","",J4*Fuel_Cost_Per_Km+IF(D4="Installation",Install_Base_Fee,Delivery_Base_Fee))</f>
      </c>
      <c r="L4" s="93" t="s">
        <v>844</v>
      </c>
      <c r="M4" s="106" t="s">
        <v>845</v>
      </c>
      <c r="N4" s="93" t="s">
        <v>840</v>
      </c>
    </row>
    <row r="5" spans="1:14" ht="15" customHeight="1" x14ac:dyDescent="0.25">
      <c r="A5" s="93" t="s">
        <v>359</v>
      </c>
      <c r="B5" s="93" t="s">
        <v>360</v>
      </c>
      <c r="C5" s="106" t="s">
        <v>418</v>
      </c>
      <c r="D5" s="93" t="s">
        <v>477</v>
      </c>
      <c r="E5" s="94">
        <v>46128</v>
      </c>
      <c r="F5" s="93" t="s">
        <v>846</v>
      </c>
      <c r="G5" s="93" t="s">
        <v>847</v>
      </c>
      <c r="H5" s="93" t="s">
        <v>848</v>
      </c>
      <c r="I5" s="93" t="s">
        <v>757</v>
      </c>
      <c r="J5" s="108">
        <v>8</v>
      </c>
      <c r="K5" s="95">
        <f>IF(A5="","",J5*Fuel_Cost_Per_Km+IF(D5="Installation",Install_Base_Fee,Delivery_Base_Fee))</f>
      </c>
      <c r="L5" s="93" t="s">
        <v>259</v>
      </c>
      <c r="M5" s="106" t="s">
        <v>849</v>
      </c>
      <c r="N5" s="93" t="s">
        <v>367</v>
      </c>
    </row>
    <row r="6" spans="1:14" ht="15" customHeight="1" x14ac:dyDescent="0.25">
      <c r="A6" s="93" t="s">
        <v>373</v>
      </c>
      <c r="B6" s="93" t="s">
        <v>374</v>
      </c>
      <c r="C6" s="106" t="s">
        <v>435</v>
      </c>
      <c r="D6" s="93" t="s">
        <v>478</v>
      </c>
      <c r="E6" s="94">
        <v>46139</v>
      </c>
      <c r="F6" s="93" t="s">
        <v>850</v>
      </c>
      <c r="G6" s="93" t="s">
        <v>851</v>
      </c>
      <c r="H6" s="93" t="s">
        <v>843</v>
      </c>
      <c r="I6" s="93" t="s">
        <v>771</v>
      </c>
      <c r="J6" s="108">
        <v>15</v>
      </c>
      <c r="K6" s="95">
        <f>IF(A6="","",J6*Fuel_Cost_Per_Km+IF(D6="Installation",Install_Base_Fee,Delivery_Base_Fee))</f>
      </c>
      <c r="L6" s="93" t="s">
        <v>852</v>
      </c>
      <c r="M6" s="106" t="s">
        <v>853</v>
      </c>
      <c r="N6" s="93" t="s">
        <v>840</v>
      </c>
    </row>
    <row r="7" spans="1:14" ht="15" customHeight="1" x14ac:dyDescent="0.25">
      <c r="A7" s="93" t="s">
        <v>330</v>
      </c>
      <c r="B7" s="93" t="s">
        <v>388</v>
      </c>
      <c r="C7" s="106" t="s">
        <v>854</v>
      </c>
      <c r="D7" s="93" t="s">
        <v>477</v>
      </c>
      <c r="E7" s="94">
        <v>46130</v>
      </c>
      <c r="F7" s="93" t="s">
        <v>855</v>
      </c>
      <c r="G7" s="93" t="s">
        <v>856</v>
      </c>
      <c r="H7" s="93" t="s">
        <v>837</v>
      </c>
      <c r="I7" s="93" t="s">
        <v>760</v>
      </c>
      <c r="J7" s="108">
        <v>145</v>
      </c>
      <c r="K7" s="95">
        <f>IF(A7="","",J7*Fuel_Cost_Per_Km+IF(D7="Installation",Install_Base_Fee,Delivery_Base_Fee))</f>
      </c>
      <c r="L7" s="93" t="s">
        <v>857</v>
      </c>
      <c r="M7" s="106" t="s">
        <v>858</v>
      </c>
      <c r="N7" s="93" t="s">
        <v>859</v>
      </c>
    </row>
    <row r="8" spans="1:14" ht="15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95" t="str">
        <f t="shared" ref="K8:K39" si="0">IF(A8="","",J8*Fuel_Cost_Per_Km+IF(D8="Installation",Install_Base_Fee,Delivery_Base_Fee))</f>
        <v/>
      </c>
      <c r="L8" s="77"/>
      <c r="M8" s="77"/>
      <c r="N8" s="77"/>
    </row>
    <row r="9" spans="1:14" ht="15" customHeight="1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  <c r="K9" s="95" t="str">
        <f t="shared" si="0"/>
        <v/>
      </c>
      <c r="L9" s="77"/>
      <c r="M9" s="77"/>
      <c r="N9" s="77"/>
    </row>
    <row r="10" spans="1:14" ht="15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95" t="str">
        <f t="shared" si="0"/>
        <v/>
      </c>
      <c r="L10" s="77"/>
      <c r="M10" s="77"/>
      <c r="N10" s="77"/>
    </row>
    <row r="11" spans="1:14" ht="15" customHeight="1" x14ac:dyDescent="0.25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95" t="str">
        <f t="shared" si="0"/>
        <v/>
      </c>
      <c r="L11" s="77"/>
      <c r="M11" s="77"/>
      <c r="N11" s="77"/>
    </row>
    <row r="12" spans="1:14" ht="15" customHeight="1" x14ac:dyDescent="0.25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95" t="str">
        <f t="shared" si="0"/>
        <v/>
      </c>
      <c r="L12" s="77"/>
      <c r="M12" s="77"/>
      <c r="N12" s="77"/>
    </row>
    <row r="13" spans="1:14" ht="15" customHeight="1" x14ac:dyDescent="0.25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95" t="str">
        <f t="shared" si="0"/>
        <v/>
      </c>
      <c r="L13" s="77"/>
      <c r="M13" s="77"/>
      <c r="N13" s="77"/>
    </row>
    <row r="14" spans="1:14" ht="15" customHeight="1" x14ac:dyDescent="0.25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95" t="str">
        <f t="shared" si="0"/>
        <v/>
      </c>
      <c r="L14" s="77"/>
      <c r="M14" s="77"/>
      <c r="N14" s="77"/>
    </row>
    <row r="15" spans="1:14" ht="15" customHeight="1" x14ac:dyDescent="0.25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95" t="str">
        <f t="shared" si="0"/>
        <v/>
      </c>
      <c r="L15" s="77"/>
      <c r="M15" s="77"/>
      <c r="N15" s="77"/>
    </row>
    <row r="16" spans="1:14" ht="15" customHeight="1" x14ac:dyDescent="0.25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95" t="str">
        <f t="shared" si="0"/>
        <v/>
      </c>
      <c r="L16" s="77"/>
      <c r="M16" s="77"/>
      <c r="N16" s="77"/>
    </row>
    <row r="17" spans="1:14" ht="15" customHeight="1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95" t="str">
        <f t="shared" si="0"/>
        <v/>
      </c>
      <c r="L17" s="77"/>
      <c r="M17" s="77"/>
      <c r="N17" s="77"/>
    </row>
    <row r="18" spans="1:14" ht="15" customHeight="1" x14ac:dyDescent="0.2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95" t="str">
        <f t="shared" si="0"/>
        <v/>
      </c>
      <c r="L18" s="77"/>
      <c r="M18" s="77"/>
      <c r="N18" s="77"/>
    </row>
    <row r="19" spans="1:14" ht="15" customHeight="1" x14ac:dyDescent="0.25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95" t="str">
        <f t="shared" si="0"/>
        <v/>
      </c>
      <c r="L19" s="77"/>
      <c r="M19" s="77"/>
      <c r="N19" s="77"/>
    </row>
    <row r="20" spans="1:14" ht="15" customHeight="1" x14ac:dyDescent="0.25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95" t="str">
        <f t="shared" si="0"/>
        <v/>
      </c>
      <c r="L20" s="77"/>
      <c r="M20" s="77"/>
      <c r="N20" s="77"/>
    </row>
    <row r="21" spans="1:14" ht="15" customHeight="1" x14ac:dyDescent="0.2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95" t="str">
        <f t="shared" si="0"/>
        <v/>
      </c>
      <c r="L21" s="77"/>
      <c r="M21" s="77"/>
      <c r="N21" s="77"/>
    </row>
    <row r="22" spans="1:14" ht="15" customHeight="1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95" t="str">
        <f t="shared" si="0"/>
        <v/>
      </c>
      <c r="L22" s="77"/>
      <c r="M22" s="77"/>
      <c r="N22" s="77"/>
    </row>
    <row r="23" spans="1:14" ht="15" customHeight="1" x14ac:dyDescent="0.25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95" t="str">
        <f t="shared" si="0"/>
        <v/>
      </c>
      <c r="L23" s="77"/>
      <c r="M23" s="77"/>
      <c r="N23" s="77"/>
    </row>
    <row r="24" spans="1:14" ht="15" customHeight="1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95" t="str">
        <f t="shared" si="0"/>
        <v/>
      </c>
      <c r="L24" s="77"/>
      <c r="M24" s="77"/>
      <c r="N24" s="77"/>
    </row>
    <row r="25" spans="1:14" ht="15" customHeight="1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95" t="str">
        <f t="shared" si="0"/>
        <v/>
      </c>
      <c r="L25" s="77"/>
      <c r="M25" s="77"/>
      <c r="N25" s="77"/>
    </row>
    <row r="26" spans="1:14" ht="15" customHeight="1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95" t="str">
        <f t="shared" si="0"/>
        <v/>
      </c>
      <c r="L26" s="77"/>
      <c r="M26" s="77"/>
      <c r="N26" s="77"/>
    </row>
    <row r="27" spans="1:14" ht="15" customHeight="1" x14ac:dyDescent="0.25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95" t="str">
        <f t="shared" si="0"/>
        <v/>
      </c>
      <c r="L27" s="77"/>
      <c r="M27" s="77"/>
      <c r="N27" s="77"/>
    </row>
    <row r="28" spans="1:14" ht="15" customHeight="1" x14ac:dyDescent="0.2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95" t="str">
        <f t="shared" si="0"/>
        <v/>
      </c>
      <c r="L28" s="77"/>
      <c r="M28" s="77"/>
      <c r="N28" s="77"/>
    </row>
    <row r="29" spans="1:14" ht="15" customHeight="1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95" t="str">
        <f t="shared" si="0"/>
        <v/>
      </c>
      <c r="L29" s="77"/>
      <c r="M29" s="77"/>
      <c r="N29" s="77"/>
    </row>
    <row r="30" spans="1:14" ht="15" customHeight="1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95" t="str">
        <f t="shared" si="0"/>
        <v/>
      </c>
      <c r="L30" s="77"/>
      <c r="M30" s="77"/>
      <c r="N30" s="77"/>
    </row>
    <row r="31" spans="1:14" ht="15" customHeight="1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95" t="str">
        <f t="shared" si="0"/>
        <v/>
      </c>
      <c r="L31" s="77"/>
      <c r="M31" s="77"/>
      <c r="N31" s="77"/>
    </row>
    <row r="32" spans="1:14" ht="15" customHeight="1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95" t="str">
        <f t="shared" si="0"/>
        <v/>
      </c>
      <c r="L32" s="77"/>
      <c r="M32" s="77"/>
      <c r="N32" s="77"/>
    </row>
    <row r="33" spans="1:14" ht="15" customHeight="1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95" t="str">
        <f t="shared" si="0"/>
        <v/>
      </c>
      <c r="L33" s="77"/>
      <c r="M33" s="77"/>
      <c r="N33" s="77"/>
    </row>
    <row r="34" spans="1:14" ht="15" customHeight="1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95" t="str">
        <f t="shared" si="0"/>
        <v/>
      </c>
      <c r="L34" s="77"/>
      <c r="M34" s="77"/>
      <c r="N34" s="77"/>
    </row>
    <row r="35" spans="1:14" ht="15" customHeight="1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95" t="str">
        <f t="shared" si="0"/>
        <v/>
      </c>
      <c r="L35" s="77"/>
      <c r="M35" s="77"/>
      <c r="N35" s="77"/>
    </row>
    <row r="36" spans="1:14" ht="15" customHeight="1" x14ac:dyDescent="0.2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95" t="str">
        <f t="shared" si="0"/>
        <v/>
      </c>
      <c r="L36" s="77"/>
      <c r="M36" s="77"/>
      <c r="N36" s="77"/>
    </row>
    <row r="37" spans="1:14" ht="15" customHeight="1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95" t="str">
        <f t="shared" si="0"/>
        <v/>
      </c>
      <c r="L37" s="77"/>
      <c r="M37" s="77"/>
      <c r="N37" s="77"/>
    </row>
    <row r="38" spans="1:14" ht="15" customHeight="1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95" t="str">
        <f t="shared" si="0"/>
        <v/>
      </c>
      <c r="L38" s="77"/>
      <c r="M38" s="77"/>
      <c r="N38" s="77"/>
    </row>
    <row r="39" spans="1:14" ht="15" customHeight="1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95" t="str">
        <f t="shared" si="0"/>
        <v/>
      </c>
      <c r="L39" s="77"/>
      <c r="M39" s="77"/>
      <c r="N39" s="77"/>
    </row>
    <row r="40" spans="1:14" ht="15" customHeight="1" x14ac:dyDescent="0.25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95" t="str">
        <f t="shared" ref="K40:K71" si="1">IF(A40="","",J40*Fuel_Cost_Per_Km+IF(D40="Installation",Install_Base_Fee,Delivery_Base_Fee))</f>
        <v/>
      </c>
      <c r="L40" s="77"/>
      <c r="M40" s="77"/>
      <c r="N40" s="77"/>
    </row>
    <row r="41" spans="1:14" ht="15" customHeight="1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95" t="str">
        <f t="shared" si="1"/>
        <v/>
      </c>
      <c r="L41" s="77"/>
      <c r="M41" s="77"/>
      <c r="N41" s="77"/>
    </row>
    <row r="42" spans="1:14" ht="15" customHeight="1" x14ac:dyDescent="0.25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95" t="str">
        <f t="shared" si="1"/>
        <v/>
      </c>
      <c r="L42" s="77"/>
      <c r="M42" s="77"/>
      <c r="N42" s="77"/>
    </row>
    <row r="43" spans="1:14" ht="15" customHeight="1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95" t="str">
        <f t="shared" si="1"/>
        <v/>
      </c>
      <c r="L43" s="77"/>
      <c r="M43" s="77"/>
      <c r="N43" s="77"/>
    </row>
    <row r="44" spans="1:14" ht="15" customHeight="1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95" t="str">
        <f t="shared" si="1"/>
        <v/>
      </c>
      <c r="L44" s="77"/>
      <c r="M44" s="77"/>
      <c r="N44" s="77"/>
    </row>
    <row r="45" spans="1:14" ht="15" customHeight="1" x14ac:dyDescent="0.25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95" t="str">
        <f t="shared" si="1"/>
        <v/>
      </c>
      <c r="L45" s="77"/>
      <c r="M45" s="77"/>
      <c r="N45" s="77"/>
    </row>
    <row r="46" spans="1:14" ht="15" customHeight="1" x14ac:dyDescent="0.25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95" t="str">
        <f t="shared" si="1"/>
        <v/>
      </c>
      <c r="L46" s="77"/>
      <c r="M46" s="77"/>
      <c r="N46" s="77"/>
    </row>
    <row r="47" spans="1:14" ht="15" customHeight="1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95" t="str">
        <f t="shared" si="1"/>
        <v/>
      </c>
      <c r="L47" s="77"/>
      <c r="M47" s="77"/>
      <c r="N47" s="77"/>
    </row>
    <row r="48" spans="1:14" ht="15" customHeight="1" x14ac:dyDescent="0.25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95" t="str">
        <f t="shared" si="1"/>
        <v/>
      </c>
      <c r="L48" s="77"/>
      <c r="M48" s="77"/>
      <c r="N48" s="77"/>
    </row>
    <row r="49" spans="1:14" ht="15" customHeight="1" x14ac:dyDescent="0.25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95" t="str">
        <f t="shared" si="1"/>
        <v/>
      </c>
      <c r="L49" s="77"/>
      <c r="M49" s="77"/>
      <c r="N49" s="77"/>
    </row>
    <row r="50" spans="1:14" ht="15" customHeight="1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95" t="str">
        <f t="shared" si="1"/>
        <v/>
      </c>
      <c r="L50" s="77"/>
      <c r="M50" s="77"/>
      <c r="N50" s="77"/>
    </row>
    <row r="51" spans="1:14" ht="15" customHeight="1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95" t="str">
        <f t="shared" si="1"/>
        <v/>
      </c>
      <c r="L51" s="77"/>
      <c r="M51" s="77"/>
      <c r="N51" s="77"/>
    </row>
    <row r="52" spans="1:14" ht="15" customHeight="1" x14ac:dyDescent="0.25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95" t="str">
        <f t="shared" si="1"/>
        <v/>
      </c>
      <c r="L52" s="77"/>
      <c r="M52" s="77"/>
      <c r="N52" s="77"/>
    </row>
    <row r="53" spans="1:14" ht="15" customHeight="1" x14ac:dyDescent="0.25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95" t="str">
        <f t="shared" si="1"/>
        <v/>
      </c>
      <c r="L53" s="77"/>
      <c r="M53" s="77"/>
      <c r="N53" s="77"/>
    </row>
    <row r="54" spans="1:14" ht="15" customHeight="1" x14ac:dyDescent="0.25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95" t="str">
        <f t="shared" si="1"/>
        <v/>
      </c>
      <c r="L54" s="77"/>
      <c r="M54" s="77"/>
      <c r="N54" s="77"/>
    </row>
    <row r="55" spans="1:14" ht="15" customHeight="1" x14ac:dyDescent="0.25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95" t="str">
        <f t="shared" si="1"/>
        <v/>
      </c>
      <c r="L55" s="77"/>
      <c r="M55" s="77"/>
      <c r="N55" s="77"/>
    </row>
    <row r="56" spans="1:14" ht="15" customHeight="1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95" t="str">
        <f t="shared" si="1"/>
        <v/>
      </c>
      <c r="L56" s="77"/>
      <c r="M56" s="77"/>
      <c r="N56" s="77"/>
    </row>
    <row r="57" spans="1:14" ht="15" customHeight="1" x14ac:dyDescent="0.2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95" t="str">
        <f t="shared" si="1"/>
        <v/>
      </c>
      <c r="L57" s="77"/>
      <c r="M57" s="77"/>
      <c r="N57" s="77"/>
    </row>
    <row r="58" spans="1:14" ht="15" customHeight="1" x14ac:dyDescent="0.25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95" t="str">
        <f t="shared" si="1"/>
        <v/>
      </c>
      <c r="L58" s="77"/>
      <c r="M58" s="77"/>
      <c r="N58" s="77"/>
    </row>
    <row r="59" spans="1:14" ht="15" customHeight="1" x14ac:dyDescent="0.25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95" t="str">
        <f t="shared" si="1"/>
        <v/>
      </c>
      <c r="L59" s="77"/>
      <c r="M59" s="77"/>
      <c r="N59" s="77"/>
    </row>
    <row r="60" spans="1:14" ht="15" customHeight="1" x14ac:dyDescent="0.25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95" t="str">
        <f t="shared" si="1"/>
        <v/>
      </c>
      <c r="L60" s="77"/>
      <c r="M60" s="77"/>
      <c r="N60" s="77"/>
    </row>
    <row r="61" spans="1:14" ht="15" customHeight="1" x14ac:dyDescent="0.25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95" t="str">
        <f t="shared" si="1"/>
        <v/>
      </c>
      <c r="L61" s="77"/>
      <c r="M61" s="77"/>
      <c r="N61" s="77"/>
    </row>
    <row r="62" spans="1:14" ht="15" customHeight="1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95" t="str">
        <f t="shared" si="1"/>
        <v/>
      </c>
      <c r="L62" s="77"/>
      <c r="M62" s="77"/>
      <c r="N62" s="77"/>
    </row>
    <row r="63" spans="1:14" ht="15" customHeight="1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95" t="str">
        <f t="shared" si="1"/>
        <v/>
      </c>
      <c r="L63" s="77"/>
      <c r="M63" s="77"/>
      <c r="N63" s="77"/>
    </row>
    <row r="64" spans="1:14" ht="15" customHeight="1" x14ac:dyDescent="0.25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95" t="str">
        <f t="shared" si="1"/>
        <v/>
      </c>
      <c r="L64" s="77"/>
      <c r="M64" s="77"/>
      <c r="N64" s="77"/>
    </row>
    <row r="65" spans="1:14" ht="15" customHeight="1" x14ac:dyDescent="0.25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95" t="str">
        <f t="shared" si="1"/>
        <v/>
      </c>
      <c r="L65" s="77"/>
      <c r="M65" s="77"/>
      <c r="N65" s="77"/>
    </row>
    <row r="66" spans="1:14" ht="15" customHeight="1" x14ac:dyDescent="0.25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95" t="str">
        <f t="shared" si="1"/>
        <v/>
      </c>
      <c r="L66" s="77"/>
      <c r="M66" s="77"/>
      <c r="N66" s="77"/>
    </row>
    <row r="67" spans="1:14" ht="15" customHeight="1" x14ac:dyDescent="0.25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95" t="str">
        <f t="shared" si="1"/>
        <v/>
      </c>
      <c r="L67" s="77"/>
      <c r="M67" s="77"/>
      <c r="N67" s="77"/>
    </row>
    <row r="68" spans="1:14" ht="15" customHeight="1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95" t="str">
        <f t="shared" si="1"/>
        <v/>
      </c>
      <c r="L68" s="77"/>
      <c r="M68" s="77"/>
      <c r="N68" s="77"/>
    </row>
    <row r="69" spans="1:14" ht="15" customHeight="1" x14ac:dyDescent="0.25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95" t="str">
        <f t="shared" si="1"/>
        <v/>
      </c>
      <c r="L69" s="77"/>
      <c r="M69" s="77"/>
      <c r="N69" s="77"/>
    </row>
    <row r="70" spans="1:14" ht="15" customHeight="1" x14ac:dyDescent="0.25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95" t="str">
        <f t="shared" si="1"/>
        <v/>
      </c>
      <c r="L70" s="77"/>
      <c r="M70" s="77"/>
      <c r="N70" s="77"/>
    </row>
    <row r="71" spans="1:14" ht="15" customHeight="1" x14ac:dyDescent="0.25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95" t="str">
        <f t="shared" si="1"/>
        <v/>
      </c>
      <c r="L71" s="77"/>
      <c r="M71" s="77"/>
      <c r="N71" s="77"/>
    </row>
    <row r="72" spans="1:14" ht="15" customHeight="1" x14ac:dyDescent="0.25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95" t="str">
        <f t="shared" ref="K72:K102" si="2">IF(A72="","",J72*Fuel_Cost_Per_Km+IF(D72="Installation",Install_Base_Fee,Delivery_Base_Fee))</f>
        <v/>
      </c>
      <c r="L72" s="77"/>
      <c r="M72" s="77"/>
      <c r="N72" s="77"/>
    </row>
    <row r="73" spans="1:14" ht="15" customHeight="1" x14ac:dyDescent="0.2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95" t="str">
        <f t="shared" si="2"/>
        <v/>
      </c>
      <c r="L73" s="77"/>
      <c r="M73" s="77"/>
      <c r="N73" s="77"/>
    </row>
    <row r="74" spans="1:14" ht="15" customHeight="1" x14ac:dyDescent="0.25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95" t="str">
        <f t="shared" si="2"/>
        <v/>
      </c>
      <c r="L74" s="77"/>
      <c r="M74" s="77"/>
      <c r="N74" s="77"/>
    </row>
    <row r="75" spans="1:14" ht="15" customHeight="1" x14ac:dyDescent="0.25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95" t="str">
        <f t="shared" si="2"/>
        <v/>
      </c>
      <c r="L75" s="77"/>
      <c r="M75" s="77"/>
      <c r="N75" s="77"/>
    </row>
    <row r="76" spans="1:14" ht="15" customHeight="1" x14ac:dyDescent="0.25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95" t="str">
        <f t="shared" si="2"/>
        <v/>
      </c>
      <c r="L76" s="77"/>
      <c r="M76" s="77"/>
      <c r="N76" s="77"/>
    </row>
    <row r="77" spans="1:14" ht="15" customHeight="1" x14ac:dyDescent="0.25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95" t="str">
        <f t="shared" si="2"/>
        <v/>
      </c>
      <c r="L77" s="77"/>
      <c r="M77" s="77"/>
      <c r="N77" s="77"/>
    </row>
    <row r="78" spans="1:14" ht="15" customHeight="1" x14ac:dyDescent="0.25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95" t="str">
        <f t="shared" si="2"/>
        <v/>
      </c>
      <c r="L78" s="77"/>
      <c r="M78" s="77"/>
      <c r="N78" s="77"/>
    </row>
    <row r="79" spans="1:14" ht="15" customHeight="1" x14ac:dyDescent="0.25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95" t="str">
        <f t="shared" si="2"/>
        <v/>
      </c>
      <c r="L79" s="77"/>
      <c r="M79" s="77"/>
      <c r="N79" s="77"/>
    </row>
    <row r="80" spans="1:14" ht="15" customHeight="1" x14ac:dyDescent="0.25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95" t="str">
        <f t="shared" si="2"/>
        <v/>
      </c>
      <c r="L80" s="77"/>
      <c r="M80" s="77"/>
      <c r="N80" s="77"/>
    </row>
    <row r="81" spans="1:14" ht="15" customHeight="1" x14ac:dyDescent="0.25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95" t="str">
        <f t="shared" si="2"/>
        <v/>
      </c>
      <c r="L81" s="77"/>
      <c r="M81" s="77"/>
      <c r="N81" s="77"/>
    </row>
    <row r="82" spans="1:14" ht="15" customHeight="1" x14ac:dyDescent="0.25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95" t="str">
        <f t="shared" si="2"/>
        <v/>
      </c>
      <c r="L82" s="77"/>
      <c r="M82" s="77"/>
      <c r="N82" s="77"/>
    </row>
    <row r="83" spans="1:14" ht="15" customHeight="1" x14ac:dyDescent="0.2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95" t="str">
        <f t="shared" si="2"/>
        <v/>
      </c>
      <c r="L83" s="77"/>
      <c r="M83" s="77"/>
      <c r="N83" s="77"/>
    </row>
    <row r="84" spans="1:14" ht="15" customHeight="1" x14ac:dyDescent="0.25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95" t="str">
        <f t="shared" si="2"/>
        <v/>
      </c>
      <c r="L84" s="77"/>
      <c r="M84" s="77"/>
      <c r="N84" s="77"/>
    </row>
    <row r="85" spans="1:14" ht="15" customHeight="1" x14ac:dyDescent="0.25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95" t="str">
        <f t="shared" si="2"/>
        <v/>
      </c>
      <c r="L85" s="77"/>
      <c r="M85" s="77"/>
      <c r="N85" s="77"/>
    </row>
    <row r="86" spans="1:14" ht="15" customHeight="1" x14ac:dyDescent="0.25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95" t="str">
        <f t="shared" si="2"/>
        <v/>
      </c>
      <c r="L86" s="77"/>
      <c r="M86" s="77"/>
      <c r="N86" s="77"/>
    </row>
    <row r="87" spans="1:14" ht="15" customHeight="1" x14ac:dyDescent="0.25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95" t="str">
        <f t="shared" si="2"/>
        <v/>
      </c>
      <c r="L87" s="77"/>
      <c r="M87" s="77"/>
      <c r="N87" s="77"/>
    </row>
    <row r="88" spans="1:14" ht="15" customHeight="1" x14ac:dyDescent="0.25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95" t="str">
        <f t="shared" si="2"/>
        <v/>
      </c>
      <c r="L88" s="77"/>
      <c r="M88" s="77"/>
      <c r="N88" s="77"/>
    </row>
    <row r="89" spans="1:14" ht="15" customHeight="1" x14ac:dyDescent="0.25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95" t="str">
        <f t="shared" si="2"/>
        <v/>
      </c>
      <c r="L89" s="77"/>
      <c r="M89" s="77"/>
      <c r="N89" s="77"/>
    </row>
    <row r="90" spans="1:14" ht="15" customHeight="1" x14ac:dyDescent="0.25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95" t="str">
        <f t="shared" si="2"/>
        <v/>
      </c>
      <c r="L90" s="77"/>
      <c r="M90" s="77"/>
      <c r="N90" s="77"/>
    </row>
    <row r="91" spans="1:14" ht="15" customHeight="1" x14ac:dyDescent="0.25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95" t="str">
        <f t="shared" si="2"/>
        <v/>
      </c>
      <c r="L91" s="77"/>
      <c r="M91" s="77"/>
      <c r="N91" s="77"/>
    </row>
    <row r="92" spans="1:14" ht="15" customHeight="1" x14ac:dyDescent="0.25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95" t="str">
        <f t="shared" si="2"/>
        <v/>
      </c>
      <c r="L92" s="77"/>
      <c r="M92" s="77"/>
      <c r="N92" s="77"/>
    </row>
    <row r="93" spans="1:14" ht="15" customHeight="1" x14ac:dyDescent="0.25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95" t="str">
        <f t="shared" si="2"/>
        <v/>
      </c>
      <c r="L93" s="77"/>
      <c r="M93" s="77"/>
      <c r="N93" s="77"/>
    </row>
    <row r="94" spans="1:14" ht="15" customHeight="1" x14ac:dyDescent="0.25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95" t="str">
        <f t="shared" si="2"/>
        <v/>
      </c>
      <c r="L94" s="77"/>
      <c r="M94" s="77"/>
      <c r="N94" s="77"/>
    </row>
    <row r="95" spans="1:14" ht="15" customHeight="1" x14ac:dyDescent="0.2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95" t="str">
        <f t="shared" si="2"/>
        <v/>
      </c>
      <c r="L95" s="77"/>
      <c r="M95" s="77"/>
      <c r="N95" s="77"/>
    </row>
    <row r="96" spans="1:14" ht="15" customHeight="1" x14ac:dyDescent="0.2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95" t="str">
        <f t="shared" si="2"/>
        <v/>
      </c>
      <c r="L96" s="77"/>
      <c r="M96" s="77"/>
      <c r="N96" s="77"/>
    </row>
    <row r="97" spans="1:14" ht="15" customHeight="1" x14ac:dyDescent="0.25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95" t="str">
        <f t="shared" si="2"/>
        <v/>
      </c>
      <c r="L97" s="77"/>
      <c r="M97" s="77"/>
      <c r="N97" s="77"/>
    </row>
    <row r="98" spans="1:14" ht="15" customHeight="1" x14ac:dyDescent="0.25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95" t="str">
        <f t="shared" si="2"/>
        <v/>
      </c>
      <c r="L98" s="77"/>
      <c r="M98" s="77"/>
      <c r="N98" s="77"/>
    </row>
    <row r="99" spans="1:14" ht="15" customHeight="1" x14ac:dyDescent="0.25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95" t="str">
        <f t="shared" si="2"/>
        <v/>
      </c>
      <c r="L99" s="77"/>
      <c r="M99" s="77"/>
      <c r="N99" s="77"/>
    </row>
    <row r="100" spans="1:14" ht="15" customHeight="1" x14ac:dyDescent="0.25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95" t="str">
        <f t="shared" si="2"/>
        <v/>
      </c>
      <c r="L100" s="77"/>
      <c r="M100" s="77"/>
      <c r="N100" s="77"/>
    </row>
    <row r="101" spans="1:14" ht="15" customHeight="1" x14ac:dyDescent="0.25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95" t="str">
        <f t="shared" si="2"/>
        <v/>
      </c>
      <c r="L101" s="77"/>
      <c r="M101" s="77"/>
      <c r="N101" s="77"/>
    </row>
    <row r="102" spans="1:14" ht="15" customHeight="1" x14ac:dyDescent="0.25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95" t="str">
        <f t="shared" si="2"/>
        <v/>
      </c>
      <c r="L102" s="77"/>
      <c r="M102" s="77"/>
      <c r="N102" s="77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N1"/>
  </mergeCells>
  <conditionalFormatting sqref="E3:E102">
    <cfRule type="expression" dxfId="50" priority="4">
      <formula>AND(ISNUMBER($E3),$E3&lt;TODAY(),$N3&lt;&gt;"Completed",$N3&lt;&gt;"Cancelled")</formula>
    </cfRule>
  </conditionalFormatting>
  <conditionalFormatting sqref="N3:N102">
    <cfRule type="expression" dxfId="49" priority="2">
      <formula>$N3="Overdue"</formula>
    </cfRule>
    <cfRule type="expression" dxfId="48" priority="3">
      <formula>$N3="Completed"</formula>
    </cfRule>
  </conditionalFormatting>
  <dataValidations count="2">
    <dataValidation type="list" allowBlank="1" sqref="D3:D102" xr:uid="{00000000-0002-0000-1000-000000000000}">
      <formula1>"Delivery,Installation,Pickup"</formula1>
      <formula2>0</formula2>
    </dataValidation>
    <dataValidation type="list" allowBlank="1" sqref="N3:N102" xr:uid="{00000000-0002-0000-1000-000001000000}">
      <formula1>"Scheduled,In Transit,Completed,Overdue,Cancelled"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F6B5A"/>
  </sheetPr>
  <dimension ref="A1:F50"/>
  <sheetViews>
    <sheetView zoomScaleNormal="100" workbookViewId="0">
      <selection sqref="A1:F1"/>
    </sheetView>
  </sheetViews>
  <sheetFormatPr defaultColWidth="8.7109375" defaultRowHeight="15" x14ac:dyDescent="0.25"/>
  <cols>
    <col min="1" max="1" width="4" customWidth="1"/>
    <col min="2" max="2" width="12" customWidth="1"/>
    <col min="3" max="3" width="14" customWidth="1"/>
    <col min="4" max="4" width="30" customWidth="1"/>
    <col min="5" max="5" width="12" customWidth="1"/>
    <col min="6" max="6" width="14" customWidth="1"/>
  </cols>
  <sheetData>
    <row r="1" spans="1:6" ht="30" customHeight="1" x14ac:dyDescent="0.25">
      <c r="A1" s="71" t="s">
        <v>860</v>
      </c>
      <c r="B1" s="71"/>
      <c r="C1" s="71"/>
      <c r="D1" s="71"/>
      <c r="E1" s="71"/>
      <c r="F1" s="71"/>
    </row>
    <row r="2" spans="1:6" x14ac:dyDescent="0.25">
      <c r="A2" s="61"/>
      <c r="B2" s="61"/>
      <c r="C2" s="61"/>
      <c r="D2" s="61"/>
      <c r="E2" s="61"/>
      <c r="F2" s="61"/>
    </row>
    <row r="3" spans="1:6" ht="15" customHeight="1" x14ac:dyDescent="0.25">
      <c r="A3" s="111" t="s">
        <v>861</v>
      </c>
      <c r="B3" s="111"/>
      <c r="C3" s="111"/>
      <c r="D3" s="111"/>
      <c r="E3" s="111"/>
      <c r="F3" s="111"/>
    </row>
    <row r="4" spans="1:6" ht="15" customHeight="1" x14ac:dyDescent="0.25">
      <c r="A4" s="61"/>
      <c r="B4" s="72" t="s">
        <v>482</v>
      </c>
      <c r="C4" s="93" t="s">
        <v>312</v>
      </c>
      <c r="D4" s="61"/>
      <c r="E4" s="72" t="s">
        <v>281</v>
      </c>
      <c r="F4" s="152">
        <v>46133</v>
      </c>
    </row>
    <row r="5" spans="1:6" ht="15" customHeight="1" x14ac:dyDescent="0.25">
      <c r="A5" s="61"/>
      <c r="B5" s="72" t="s">
        <v>484</v>
      </c>
      <c r="C5" s="154" t="str">
        <f>IFERROR(VLOOKUP(C4,Projects_Table,2,FALSE()),"")</f>
        <v>Anastasiou</v>
      </c>
      <c r="D5" s="154"/>
      <c r="E5" s="154"/>
      <c r="F5" s="154"/>
    </row>
    <row r="6" spans="1:6" x14ac:dyDescent="0.25">
      <c r="A6" s="61"/>
      <c r="B6" s="61"/>
      <c r="C6" s="61"/>
      <c r="D6" s="61"/>
      <c r="E6" s="61"/>
      <c r="F6" s="61"/>
    </row>
    <row r="7" spans="1:6" ht="24" customHeight="1" x14ac:dyDescent="0.25">
      <c r="A7" s="63" t="s">
        <v>488</v>
      </c>
      <c r="B7" s="63" t="s">
        <v>862</v>
      </c>
      <c r="C7" s="63"/>
      <c r="D7" s="63" t="s">
        <v>801</v>
      </c>
      <c r="E7" s="63" t="s">
        <v>23</v>
      </c>
      <c r="F7" s="63" t="s">
        <v>863</v>
      </c>
    </row>
    <row r="8" spans="1:6" ht="15" customHeight="1" x14ac:dyDescent="0.25">
      <c r="A8" s="77">
        <v>1</v>
      </c>
      <c r="B8" s="93"/>
      <c r="C8" s="153"/>
      <c r="D8" s="153"/>
      <c r="E8" s="93" t="s">
        <v>320</v>
      </c>
      <c r="F8" s="93"/>
    </row>
    <row r="9" spans="1:6" ht="15" customHeight="1" x14ac:dyDescent="0.25">
      <c r="A9" s="77">
        <v>2</v>
      </c>
      <c r="B9" s="93"/>
      <c r="C9" s="153"/>
      <c r="D9" s="153"/>
      <c r="E9" s="93" t="s">
        <v>320</v>
      </c>
      <c r="F9" s="93"/>
    </row>
    <row r="10" spans="1:6" ht="15" customHeight="1" x14ac:dyDescent="0.25">
      <c r="A10" s="77">
        <v>3</v>
      </c>
      <c r="B10" s="93"/>
      <c r="C10" s="153"/>
      <c r="D10" s="153"/>
      <c r="E10" s="93" t="s">
        <v>320</v>
      </c>
      <c r="F10" s="93"/>
    </row>
    <row r="11" spans="1:6" ht="15" customHeight="1" x14ac:dyDescent="0.25">
      <c r="A11" s="77">
        <v>4</v>
      </c>
      <c r="B11" s="93"/>
      <c r="C11" s="153"/>
      <c r="D11" s="153"/>
      <c r="E11" s="93" t="s">
        <v>320</v>
      </c>
      <c r="F11" s="93"/>
    </row>
    <row r="12" spans="1:6" ht="15" customHeight="1" x14ac:dyDescent="0.25">
      <c r="A12" s="77">
        <v>5</v>
      </c>
      <c r="B12" s="93"/>
      <c r="C12" s="153"/>
      <c r="D12" s="153"/>
      <c r="E12" s="93" t="s">
        <v>320</v>
      </c>
      <c r="F12" s="93"/>
    </row>
    <row r="13" spans="1:6" ht="15" customHeight="1" x14ac:dyDescent="0.25">
      <c r="A13" s="77">
        <v>6</v>
      </c>
      <c r="B13" s="93"/>
      <c r="C13" s="153"/>
      <c r="D13" s="153"/>
      <c r="E13" s="93" t="s">
        <v>320</v>
      </c>
      <c r="F13" s="93"/>
    </row>
    <row r="14" spans="1:6" ht="15" customHeight="1" x14ac:dyDescent="0.25">
      <c r="A14" s="77">
        <v>7</v>
      </c>
      <c r="B14" s="93"/>
      <c r="C14" s="153"/>
      <c r="D14" s="153"/>
      <c r="E14" s="93" t="s">
        <v>320</v>
      </c>
      <c r="F14" s="93"/>
    </row>
    <row r="15" spans="1:6" ht="15" customHeight="1" x14ac:dyDescent="0.25">
      <c r="A15" s="77">
        <v>8</v>
      </c>
      <c r="B15" s="93"/>
      <c r="C15" s="153"/>
      <c r="D15" s="153"/>
      <c r="E15" s="93" t="s">
        <v>320</v>
      </c>
      <c r="F15" s="93"/>
    </row>
    <row r="16" spans="1:6" ht="15" customHeight="1" x14ac:dyDescent="0.25">
      <c r="A16" s="77">
        <v>9</v>
      </c>
      <c r="B16" s="93"/>
      <c r="C16" s="153"/>
      <c r="D16" s="153"/>
      <c r="E16" s="93" t="s">
        <v>320</v>
      </c>
      <c r="F16" s="93"/>
    </row>
    <row r="17" spans="1:6" ht="15" customHeight="1" x14ac:dyDescent="0.25">
      <c r="A17" s="77">
        <v>10</v>
      </c>
      <c r="B17" s="93"/>
      <c r="C17" s="153"/>
      <c r="D17" s="153"/>
      <c r="E17" s="93" t="s">
        <v>320</v>
      </c>
      <c r="F17" s="93"/>
    </row>
    <row r="18" spans="1:6" ht="15" customHeight="1" x14ac:dyDescent="0.25">
      <c r="A18" s="77">
        <v>11</v>
      </c>
      <c r="B18" s="93"/>
      <c r="C18" s="153"/>
      <c r="D18" s="153"/>
      <c r="E18" s="93" t="s">
        <v>320</v>
      </c>
      <c r="F18" s="93"/>
    </row>
    <row r="19" spans="1:6" ht="15" customHeight="1" x14ac:dyDescent="0.25">
      <c r="A19" s="77">
        <v>12</v>
      </c>
      <c r="B19" s="93"/>
      <c r="C19" s="153"/>
      <c r="D19" s="153"/>
      <c r="E19" s="93" t="s">
        <v>320</v>
      </c>
      <c r="F19" s="93"/>
    </row>
    <row r="20" spans="1:6" ht="15" customHeight="1" x14ac:dyDescent="0.25">
      <c r="A20" s="61"/>
      <c r="B20" s="61"/>
      <c r="C20" s="61"/>
      <c r="D20" s="72" t="s">
        <v>864</v>
      </c>
      <c r="E20" s="155">
        <f>COUNTIF(E8:E19,"Done")/12</f>
        <v>0</v>
      </c>
      <c r="F20" s="61"/>
    </row>
    <row r="21" spans="1:6" x14ac:dyDescent="0.25">
      <c r="A21" s="61"/>
      <c r="B21" s="61"/>
      <c r="C21" s="61"/>
      <c r="D21" s="61"/>
      <c r="E21" s="61"/>
      <c r="F21" s="61"/>
    </row>
    <row r="22" spans="1:6" x14ac:dyDescent="0.25">
      <c r="A22" s="61"/>
      <c r="B22" s="61"/>
      <c r="C22" s="61"/>
      <c r="D22" s="61"/>
      <c r="E22" s="61"/>
      <c r="F22" s="61"/>
    </row>
    <row r="23" spans="1:6" ht="15" customHeight="1" x14ac:dyDescent="0.25">
      <c r="A23" s="111" t="s">
        <v>865</v>
      </c>
      <c r="B23" s="111"/>
      <c r="C23" s="111"/>
      <c r="D23" s="111"/>
      <c r="E23" s="111"/>
      <c r="F23" s="111"/>
    </row>
    <row r="24" spans="1:6" ht="15" customHeight="1" x14ac:dyDescent="0.25">
      <c r="A24" s="61"/>
      <c r="B24" s="72" t="s">
        <v>482</v>
      </c>
      <c r="C24" s="93" t="s">
        <v>312</v>
      </c>
      <c r="D24" s="61"/>
      <c r="E24" s="72" t="s">
        <v>281</v>
      </c>
      <c r="F24" s="74">
        <v>46133</v>
      </c>
    </row>
    <row r="25" spans="1:6" ht="15" customHeight="1" x14ac:dyDescent="0.25">
      <c r="A25" s="61"/>
      <c r="B25" s="72" t="s">
        <v>484</v>
      </c>
      <c r="C25" s="154" t="str">
        <f>IFERROR(VLOOKUP(C24,Projects_Table,2,FALSE()),"")</f>
        <v>Anastasiou</v>
      </c>
      <c r="D25" s="154"/>
      <c r="E25" s="154"/>
      <c r="F25" s="154"/>
    </row>
    <row r="26" spans="1:6" x14ac:dyDescent="0.25">
      <c r="A26" s="61"/>
      <c r="B26" s="61"/>
      <c r="C26" s="61"/>
      <c r="D26" s="61"/>
      <c r="E26" s="61"/>
      <c r="F26" s="61"/>
    </row>
    <row r="27" spans="1:6" ht="24" customHeight="1" x14ac:dyDescent="0.25">
      <c r="A27" s="63" t="s">
        <v>488</v>
      </c>
      <c r="B27" s="63" t="s">
        <v>862</v>
      </c>
      <c r="C27" s="63"/>
      <c r="D27" s="63" t="s">
        <v>801</v>
      </c>
      <c r="E27" s="63" t="s">
        <v>23</v>
      </c>
      <c r="F27" s="63" t="s">
        <v>863</v>
      </c>
    </row>
    <row r="28" spans="1:6" ht="15" customHeight="1" x14ac:dyDescent="0.25">
      <c r="A28" s="77">
        <v>1</v>
      </c>
      <c r="B28" s="93"/>
      <c r="C28" s="153"/>
      <c r="D28" s="153"/>
      <c r="E28" s="93" t="s">
        <v>320</v>
      </c>
      <c r="F28" s="93"/>
    </row>
    <row r="29" spans="1:6" ht="15" customHeight="1" x14ac:dyDescent="0.25">
      <c r="A29" s="77">
        <v>2</v>
      </c>
      <c r="B29" s="93"/>
      <c r="C29" s="153"/>
      <c r="D29" s="153"/>
      <c r="E29" s="93" t="s">
        <v>320</v>
      </c>
      <c r="F29" s="93"/>
    </row>
    <row r="30" spans="1:6" ht="15" customHeight="1" x14ac:dyDescent="0.25">
      <c r="A30" s="77">
        <v>3</v>
      </c>
      <c r="B30" s="93"/>
      <c r="C30" s="153"/>
      <c r="D30" s="153"/>
      <c r="E30" s="93" t="s">
        <v>320</v>
      </c>
      <c r="F30" s="93"/>
    </row>
    <row r="31" spans="1:6" ht="15" customHeight="1" x14ac:dyDescent="0.25">
      <c r="A31" s="77">
        <v>4</v>
      </c>
      <c r="B31" s="93"/>
      <c r="C31" s="153"/>
      <c r="D31" s="153"/>
      <c r="E31" s="93" t="s">
        <v>320</v>
      </c>
      <c r="F31" s="93"/>
    </row>
    <row r="32" spans="1:6" ht="15" customHeight="1" x14ac:dyDescent="0.25">
      <c r="A32" s="77">
        <v>5</v>
      </c>
      <c r="B32" s="93"/>
      <c r="C32" s="153"/>
      <c r="D32" s="153"/>
      <c r="E32" s="93" t="s">
        <v>320</v>
      </c>
      <c r="F32" s="93"/>
    </row>
    <row r="33" spans="1:6" ht="15" customHeight="1" x14ac:dyDescent="0.25">
      <c r="A33" s="77">
        <v>6</v>
      </c>
      <c r="B33" s="93"/>
      <c r="C33" s="153"/>
      <c r="D33" s="153"/>
      <c r="E33" s="93" t="s">
        <v>320</v>
      </c>
      <c r="F33" s="93"/>
    </row>
    <row r="34" spans="1:6" ht="15" customHeight="1" x14ac:dyDescent="0.25">
      <c r="A34" s="77">
        <v>7</v>
      </c>
      <c r="B34" s="93"/>
      <c r="C34" s="153"/>
      <c r="D34" s="153"/>
      <c r="E34" s="93" t="s">
        <v>320</v>
      </c>
      <c r="F34" s="93"/>
    </row>
    <row r="35" spans="1:6" ht="15" customHeight="1" x14ac:dyDescent="0.25">
      <c r="A35" s="77">
        <v>8</v>
      </c>
      <c r="B35" s="93"/>
      <c r="C35" s="153"/>
      <c r="D35" s="153"/>
      <c r="E35" s="93" t="s">
        <v>320</v>
      </c>
      <c r="F35" s="93"/>
    </row>
    <row r="36" spans="1:6" ht="15" customHeight="1" x14ac:dyDescent="0.25">
      <c r="A36" s="77">
        <v>9</v>
      </c>
      <c r="B36" s="93"/>
      <c r="C36" s="153"/>
      <c r="D36" s="153"/>
      <c r="E36" s="93" t="s">
        <v>320</v>
      </c>
      <c r="F36" s="93"/>
    </row>
    <row r="37" spans="1:6" ht="15" customHeight="1" x14ac:dyDescent="0.25">
      <c r="A37" s="77">
        <v>10</v>
      </c>
      <c r="B37" s="93"/>
      <c r="C37" s="153"/>
      <c r="D37" s="153"/>
      <c r="E37" s="93" t="s">
        <v>320</v>
      </c>
      <c r="F37" s="93"/>
    </row>
    <row r="38" spans="1:6" ht="15" customHeight="1" x14ac:dyDescent="0.25">
      <c r="A38" s="77">
        <v>11</v>
      </c>
      <c r="B38" s="93"/>
      <c r="C38" s="153"/>
      <c r="D38" s="153"/>
      <c r="E38" s="93" t="s">
        <v>320</v>
      </c>
      <c r="F38" s="93"/>
    </row>
    <row r="39" spans="1:6" ht="15" customHeight="1" x14ac:dyDescent="0.25">
      <c r="A39" s="77">
        <v>12</v>
      </c>
      <c r="B39" s="93"/>
      <c r="C39" s="153"/>
      <c r="D39" s="153"/>
      <c r="E39" s="93" t="s">
        <v>320</v>
      </c>
      <c r="F39" s="93"/>
    </row>
    <row r="40" spans="1:6" ht="15" customHeight="1" x14ac:dyDescent="0.25">
      <c r="A40" s="77">
        <v>13</v>
      </c>
      <c r="B40" s="93"/>
      <c r="C40" s="153"/>
      <c r="D40" s="153"/>
      <c r="E40" s="93" t="s">
        <v>320</v>
      </c>
      <c r="F40" s="93"/>
    </row>
    <row r="41" spans="1:6" ht="15" customHeight="1" x14ac:dyDescent="0.25">
      <c r="A41" s="77">
        <v>14</v>
      </c>
      <c r="B41" s="93"/>
      <c r="C41" s="153"/>
      <c r="D41" s="153"/>
      <c r="E41" s="93" t="s">
        <v>320</v>
      </c>
      <c r="F41" s="93"/>
    </row>
    <row r="42" spans="1:6" ht="15" customHeight="1" x14ac:dyDescent="0.25">
      <c r="A42" s="77">
        <v>15</v>
      </c>
      <c r="B42" s="93"/>
      <c r="C42" s="153"/>
      <c r="D42" s="153"/>
      <c r="E42" s="93" t="s">
        <v>320</v>
      </c>
      <c r="F42" s="93"/>
    </row>
    <row r="43" spans="1:6" ht="15" customHeight="1" x14ac:dyDescent="0.25">
      <c r="A43" s="77">
        <v>16</v>
      </c>
      <c r="B43" s="93"/>
      <c r="C43" s="153"/>
      <c r="D43" s="153"/>
      <c r="E43" s="93" t="s">
        <v>320</v>
      </c>
      <c r="F43" s="93"/>
    </row>
    <row r="44" spans="1:6" ht="15" customHeight="1" x14ac:dyDescent="0.25">
      <c r="A44" s="77">
        <v>17</v>
      </c>
      <c r="B44" s="93"/>
      <c r="C44" s="153"/>
      <c r="D44" s="153"/>
      <c r="E44" s="93" t="s">
        <v>320</v>
      </c>
      <c r="F44" s="93"/>
    </row>
    <row r="45" spans="1:6" ht="15" customHeight="1" x14ac:dyDescent="0.25">
      <c r="A45" s="77">
        <v>18</v>
      </c>
      <c r="B45" s="93"/>
      <c r="C45" s="153"/>
      <c r="D45" s="153"/>
      <c r="E45" s="93" t="s">
        <v>320</v>
      </c>
      <c r="F45" s="93"/>
    </row>
    <row r="46" spans="1:6" ht="15" customHeight="1" x14ac:dyDescent="0.25">
      <c r="A46" s="77">
        <v>19</v>
      </c>
      <c r="B46" s="93"/>
      <c r="C46" s="153"/>
      <c r="D46" s="153"/>
      <c r="E46" s="93" t="s">
        <v>320</v>
      </c>
      <c r="F46" s="93"/>
    </row>
    <row r="47" spans="1:6" ht="15" customHeight="1" x14ac:dyDescent="0.25">
      <c r="A47" s="77">
        <v>20</v>
      </c>
      <c r="B47" s="93"/>
      <c r="C47" s="153"/>
      <c r="D47" s="153"/>
      <c r="E47" s="93" t="s">
        <v>320</v>
      </c>
      <c r="F47" s="93"/>
    </row>
    <row r="48" spans="1:6" ht="15" customHeight="1" x14ac:dyDescent="0.25">
      <c r="A48" s="61"/>
      <c r="B48" s="61"/>
      <c r="C48" s="61"/>
      <c r="D48" s="72" t="s">
        <v>864</v>
      </c>
      <c r="E48" s="155">
        <f>COUNTIF(E28:E47,"Done")/20</f>
        <v>0</v>
      </c>
      <c r="F48" s="61"/>
    </row>
    <row r="49" spans="1:6" x14ac:dyDescent="0.25">
      <c r="A49" s="61"/>
      <c r="B49" s="61"/>
      <c r="C49" s="61"/>
      <c r="D49" s="61"/>
      <c r="E49" s="61"/>
      <c r="F49" s="61"/>
    </row>
    <row r="50" spans="1:6" ht="26.25" customHeight="1" x14ac:dyDescent="0.25">
      <c r="A50" s="128" t="s">
        <v>866</v>
      </c>
      <c r="B50" s="128"/>
      <c r="C50" s="128"/>
      <c r="D50" s="128"/>
      <c r="E50" s="128"/>
      <c r="F50" s="128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38">
    <mergeCell ref="C46:D46"/>
    <mergeCell ref="C47:D47"/>
    <mergeCell ref="A50:F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A23:F23"/>
    <mergeCell ref="C25:F25"/>
    <mergeCell ref="C28:D28"/>
    <mergeCell ref="C29:D29"/>
    <mergeCell ref="C30:D30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A1:F1"/>
    <mergeCell ref="A3:F3"/>
    <mergeCell ref="C5:F5"/>
    <mergeCell ref="C8:D8"/>
    <mergeCell ref="C9:D9"/>
  </mergeCells>
  <conditionalFormatting sqref="E8:E19">
    <cfRule type="expression" dxfId="47" priority="2">
      <formula>$E8="Done"</formula>
    </cfRule>
    <cfRule type="expression" dxfId="46" priority="3">
      <formula>$E8="Issue"</formula>
    </cfRule>
  </conditionalFormatting>
  <conditionalFormatting sqref="E28:E47">
    <cfRule type="expression" dxfId="45" priority="4">
      <formula>$E28="Done"</formula>
    </cfRule>
    <cfRule type="expression" dxfId="44" priority="5">
      <formula>$E28="Issue"</formula>
    </cfRule>
  </conditionalFormatting>
  <dataValidations count="1">
    <dataValidation type="list" allowBlank="1" sqref="E8:E19 E28:E47" xr:uid="{00000000-0002-0000-1100-000000000000}">
      <formula1>"Pending,Done,N/A,Issue"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L48"/>
  <sheetViews>
    <sheetView showGridLines="0" topLeftCell="A27" zoomScaleNormal="100" workbookViewId="0">
      <selection sqref="A1:L1"/>
    </sheetView>
  </sheetViews>
  <sheetFormatPr defaultColWidth="8.7109375" defaultRowHeight="15" x14ac:dyDescent="0.25"/>
  <cols>
    <col min="1" max="6" width="18" customWidth="1"/>
    <col min="7" max="12" width="14" customWidth="1"/>
  </cols>
  <sheetData>
    <row r="1" spans="1:12" ht="36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9.5" customHeight="1" x14ac:dyDescent="0.25">
      <c r="A2" s="17" t="str">
        <f ca="1">CONCATENATE("Updated: ",TEXT(TODAY(),"dd mmm yyyy")," — ",Co_Name)</f>
        <v>Updated: 08 Jul 2026 — Your Joinery Ltd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2" ht="19.5" customHeight="1" x14ac:dyDescent="0.25">
      <c r="A4" s="18" t="s">
        <v>1</v>
      </c>
      <c r="B4" s="18"/>
      <c r="C4" s="18"/>
      <c r="D4" s="19" t="s">
        <v>2</v>
      </c>
      <c r="E4" s="19"/>
      <c r="F4" s="19"/>
      <c r="G4" s="18" t="s">
        <v>3</v>
      </c>
      <c r="H4" s="18"/>
      <c r="I4" s="18"/>
      <c r="J4" s="20" t="s">
        <v>4</v>
      </c>
      <c r="K4" s="20"/>
      <c r="L4" s="20"/>
    </row>
    <row r="5" spans="1:12" ht="27.75" customHeight="1" x14ac:dyDescent="0.25">
      <c r="A5" s="21">
        <f>COUNTIFS(Project_Statuses,"In Production")+COUNTIFS(Project_Statuses,"Approved")+COUNTIFS(Project_Statuses,"Design")+COUNTIFS(Project_Statuses,"Site measurement")+COUNTIFS(Project_Statuses,"Ready for Delivery")+COUNTIFS(Project_Statuses,"Ready for Installation")</f>
        <v>7</v>
      </c>
      <c r="B5" s="21"/>
      <c r="C5" s="21"/>
      <c r="D5" s="22">
        <f>COUNTIFS(Project_Statuses,"Quotation")</f>
        <v>1</v>
      </c>
      <c r="E5" s="22"/>
      <c r="F5" s="22"/>
      <c r="G5" s="21">
        <f>COUNTIFS(Project_Statuses,"In Production")</f>
        <v>2</v>
      </c>
      <c r="H5" s="21"/>
      <c r="I5" s="21"/>
      <c r="J5" s="23">
        <f ca="1">COUNTIFS(Project_Statuses,"Delayed")+SUMPRODUCT((Project_Deadline&lt;TODAY())*(Project_Deadline&lt;&gt;"")*(Project_Statuses&lt;&gt;"")*(Project_Statuses&lt;&gt;"Completed")*(Project_Statuses&lt;&gt;"Cancelled")*(Project_Statuses&lt;&gt;"Delayed"))</f>
        <v>11</v>
      </c>
      <c r="K5" s="23"/>
      <c r="L5" s="23"/>
    </row>
    <row r="6" spans="1:12" ht="19.5" customHeight="1" x14ac:dyDescent="0.25">
      <c r="A6" s="21"/>
      <c r="B6" s="21"/>
      <c r="C6" s="21"/>
      <c r="D6" s="22"/>
      <c r="E6" s="22"/>
      <c r="F6" s="22"/>
      <c r="G6" s="21"/>
      <c r="H6" s="21"/>
      <c r="I6" s="21"/>
      <c r="J6" s="23"/>
      <c r="K6" s="23"/>
      <c r="L6" s="23"/>
    </row>
    <row r="7" spans="1:12" ht="19.5" customHeight="1" x14ac:dyDescent="0.25">
      <c r="A7" s="24" t="s">
        <v>5</v>
      </c>
      <c r="B7" s="24"/>
      <c r="C7" s="24"/>
      <c r="D7" s="24" t="s">
        <v>6</v>
      </c>
      <c r="E7" s="24"/>
      <c r="F7" s="24"/>
      <c r="G7" s="25" t="s">
        <v>7</v>
      </c>
      <c r="H7" s="25"/>
      <c r="I7" s="25"/>
      <c r="J7" s="18" t="s">
        <v>8</v>
      </c>
      <c r="K7" s="18"/>
      <c r="L7" s="18"/>
    </row>
    <row r="8" spans="1:12" ht="27.75" customHeight="1" x14ac:dyDescent="0.25">
      <c r="A8" s="26">
        <f>COUNTIFS(Project_Statuses,"Ready for Delivery")</f>
        <v>0</v>
      </c>
      <c r="B8" s="26"/>
      <c r="C8" s="26"/>
      <c r="D8" s="26">
        <f>COUNTIFS(Project_Statuses,"Ready for Installation")</f>
        <v>1</v>
      </c>
      <c r="E8" s="26"/>
      <c r="F8" s="26"/>
      <c r="G8" s="27">
        <f>COUNTIFS(Project_Statuses,"Completed")</f>
        <v>1</v>
      </c>
      <c r="H8" s="27"/>
      <c r="I8" s="27"/>
      <c r="J8" s="21">
        <f ca="1">COUNTIFS(Logistics_Type,"Delivery",Logistics_Dates,"&gt;="&amp;TODAY(),Logistics_Dates,"&lt;="&amp;TODAY()+14,Logistics_Status,"&lt;&gt;Completed")</f>
        <v>0</v>
      </c>
      <c r="K8" s="21"/>
      <c r="L8" s="21"/>
    </row>
    <row r="9" spans="1:12" ht="19.5" customHeight="1" x14ac:dyDescent="0.25">
      <c r="A9" s="26"/>
      <c r="B9" s="26"/>
      <c r="C9" s="26"/>
      <c r="D9" s="26"/>
      <c r="E9" s="26"/>
      <c r="F9" s="26"/>
      <c r="G9" s="27"/>
      <c r="H9" s="27"/>
      <c r="I9" s="27"/>
      <c r="J9" s="21"/>
      <c r="K9" s="21"/>
      <c r="L9" s="21"/>
    </row>
    <row r="10" spans="1:12" ht="19.5" customHeight="1" x14ac:dyDescent="0.25">
      <c r="A10" s="18" t="s">
        <v>9</v>
      </c>
      <c r="B10" s="18"/>
      <c r="C10" s="18"/>
      <c r="D10" s="18" t="s">
        <v>10</v>
      </c>
      <c r="E10" s="18"/>
      <c r="F10" s="18"/>
      <c r="G10" s="25" t="s">
        <v>11</v>
      </c>
      <c r="H10" s="25"/>
      <c r="I10" s="25"/>
      <c r="J10" s="25" t="s">
        <v>12</v>
      </c>
      <c r="K10" s="25"/>
      <c r="L10" s="25"/>
    </row>
    <row r="11" spans="1:12" ht="27.75" customHeight="1" x14ac:dyDescent="0.25">
      <c r="A11" s="28">
        <f>SUM(Project_Quoted)</f>
        <v>134600</v>
      </c>
      <c r="B11" s="28"/>
      <c r="C11" s="28"/>
      <c r="D11" s="28">
        <f>SUM(Project_Cost)</f>
        <v>89000</v>
      </c>
      <c r="E11" s="28"/>
      <c r="F11" s="28"/>
      <c r="G11" s="29">
        <f>SUM(Project_Profit)</f>
        <v>45600</v>
      </c>
      <c r="H11" s="29"/>
      <c r="I11" s="29"/>
      <c r="J11" s="30">
        <f>IFERROR(SUM(Project_Profit)/SUM(Project_Quoted),0)</f>
        <v>0.33878157503714712</v>
      </c>
      <c r="K11" s="30"/>
      <c r="L11" s="30"/>
    </row>
    <row r="12" spans="1:12" ht="19.5" customHeight="1" x14ac:dyDescent="0.25">
      <c r="A12" s="28"/>
      <c r="B12" s="28"/>
      <c r="C12" s="28"/>
      <c r="D12" s="28"/>
      <c r="E12" s="28"/>
      <c r="F12" s="28"/>
      <c r="G12" s="29"/>
      <c r="H12" s="29"/>
      <c r="I12" s="29"/>
      <c r="J12" s="30"/>
      <c r="K12" s="30"/>
      <c r="L12" s="30"/>
    </row>
    <row r="13" spans="1:12" ht="19.5" customHeight="1" x14ac:dyDescent="0.25">
      <c r="A13" s="19" t="s">
        <v>13</v>
      </c>
      <c r="B13" s="19"/>
      <c r="C13" s="19"/>
      <c r="D13" s="19" t="s">
        <v>14</v>
      </c>
      <c r="E13" s="19"/>
      <c r="F13" s="19"/>
      <c r="G13" s="18" t="s">
        <v>15</v>
      </c>
      <c r="H13" s="18"/>
      <c r="I13" s="18"/>
      <c r="J13" s="18" t="s">
        <v>16</v>
      </c>
      <c r="K13" s="18"/>
      <c r="L13" s="18"/>
    </row>
    <row r="14" spans="1:12" ht="27.75" customHeight="1" x14ac:dyDescent="0.25">
      <c r="A14" s="31">
        <f>SUM(Time_Hours)+SUM(Time_Overtime)</f>
        <v>41.5</v>
      </c>
      <c r="B14" s="31"/>
      <c r="C14" s="31"/>
      <c r="D14" s="32">
        <f>Payroll_GrandTotal</f>
        <v>70708.432000000001</v>
      </c>
      <c r="E14" s="32"/>
      <c r="F14" s="32"/>
      <c r="G14" s="21">
        <f ca="1">COUNTIFS(Logistics_Type,"Installation",Logistics_Dates,"&gt;="&amp;TODAY(),Logistics_Dates,"&lt;="&amp;TODAY()+14,Logistics_Status,"&lt;&gt;Completed")</f>
        <v>0</v>
      </c>
      <c r="H14" s="21"/>
      <c r="I14" s="21"/>
      <c r="J14" s="21">
        <f ca="1">SUMPRODUCT((MONTH(Project_List!$I$3:$I$102)=MONTH(TODAY()))*(YEAR(Project_List!$I$3:$I$102)=YEAR(TODAY()))*(Project_List!$I$3:$I$102&lt;&gt;""))</f>
        <v>0</v>
      </c>
      <c r="K14" s="21"/>
      <c r="L14" s="21"/>
    </row>
    <row r="15" spans="1:12" ht="19.5" customHeight="1" x14ac:dyDescent="0.25">
      <c r="A15" s="31"/>
      <c r="B15" s="31"/>
      <c r="C15" s="31"/>
      <c r="D15" s="32"/>
      <c r="E15" s="32"/>
      <c r="F15" s="32"/>
      <c r="G15" s="21"/>
      <c r="H15" s="21"/>
      <c r="I15" s="21"/>
      <c r="J15" s="21"/>
      <c r="K15" s="21"/>
      <c r="L15" s="21"/>
    </row>
    <row r="17" spans="1:12" ht="24" customHeight="1" x14ac:dyDescent="0.25">
      <c r="A17" s="33" t="s">
        <v>17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15" customHeight="1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22</v>
      </c>
      <c r="F18" s="1" t="s">
        <v>23</v>
      </c>
    </row>
    <row r="19" spans="1:12" ht="15" customHeight="1" x14ac:dyDescent="0.25">
      <c r="A19" s="2">
        <f ca="1">IFERROR(SMALL(IF((Logistics_Dates&gt;=TODAY())*(Logistics_Dates&lt;=TODAY()+14)*(Logistics_Status&lt;&gt;"Completed"),Logistics_Dates),1),"")</f>
        <v>0</v>
      </c>
      <c r="B19" s="3" t="str">
        <f ca="1">IFERROR(INDEX(Logistics!$B$3:$B$102,MATCH(A19,IF((Logistics_Status&lt;&gt;"Completed"),Logistics_Dates),0)),"")</f>
        <v/>
      </c>
      <c r="C19" s="3" t="str">
        <f ca="1">IFERROR(INDEX(Logistics!$A$3:$A$102,MATCH(A19,IF((Logistics_Status&lt;&gt;"Completed"),Logistics_Dates),0)),"")</f>
        <v/>
      </c>
      <c r="D19" s="3" t="str">
        <f ca="1">IFERROR(INDEX(Logistics!$D$3:$D$102,MATCH(A19,IF((Logistics_Status&lt;&gt;"Completed"),Logistics_Dates),0)),"")</f>
        <v/>
      </c>
      <c r="E19" s="3" t="str">
        <f ca="1">IFERROR(INDEX(Logistics!$G$3:$G$102,MATCH(A19,IF((Logistics_Status&lt;&gt;"Completed"),Logistics_Dates),0)),"")</f>
        <v/>
      </c>
      <c r="F19" s="3" t="str">
        <f ca="1">IFERROR(INDEX(Logistics!$N$3:$N$102,MATCH(A19,IF((Logistics_Status&lt;&gt;"Completed"),Logistics_Dates),0)),"")</f>
        <v/>
      </c>
    </row>
    <row r="20" spans="1:12" ht="15" customHeight="1" x14ac:dyDescent="0.25">
      <c r="A20" s="2" t="str">
        <f ca="1">IFERROR(SMALL(IF((Logistics_Dates&gt;=TODAY())*(Logistics_Dates&lt;=TODAY()+14)*(Logistics_Status&lt;&gt;"Completed"),Logistics_Dates),2),"")</f>
        <v/>
      </c>
      <c r="B20" s="3" t="str">
        <f ca="1">IFERROR(INDEX(Logistics!$B$3:$B$102,MATCH(A20,IF((Logistics_Status&lt;&gt;"Completed"),Logistics_Dates),0)),"")</f>
        <v/>
      </c>
      <c r="C20" s="3" t="str">
        <f ca="1">IFERROR(INDEX(Logistics!$A$3:$A$102,MATCH(A20,IF((Logistics_Status&lt;&gt;"Completed"),Logistics_Dates),0)),"")</f>
        <v/>
      </c>
      <c r="D20" s="3" t="str">
        <f ca="1">IFERROR(INDEX(Logistics!$D$3:$D$102,MATCH(A20,IF((Logistics_Status&lt;&gt;"Completed"),Logistics_Dates),0)),"")</f>
        <v/>
      </c>
      <c r="E20" s="3" t="str">
        <f ca="1">IFERROR(INDEX(Logistics!$G$3:$G$102,MATCH(A20,IF((Logistics_Status&lt;&gt;"Completed"),Logistics_Dates),0)),"")</f>
        <v/>
      </c>
      <c r="F20" s="3" t="str">
        <f ca="1">IFERROR(INDEX(Logistics!$N$3:$N$102,MATCH(A20,IF((Logistics_Status&lt;&gt;"Completed"),Logistics_Dates),0)),"")</f>
        <v/>
      </c>
    </row>
    <row r="21" spans="1:12" ht="15" customHeight="1" x14ac:dyDescent="0.25">
      <c r="A21" s="2" t="str">
        <f ca="1">IFERROR(SMALL(IF((Logistics_Dates&gt;=TODAY())*(Logistics_Dates&lt;=TODAY()+14)*(Logistics_Status&lt;&gt;"Completed"),Logistics_Dates),3),"")</f>
        <v/>
      </c>
      <c r="B21" s="3" t="str">
        <f ca="1">IFERROR(INDEX(Logistics!$B$3:$B$102,MATCH(A21,IF((Logistics_Status&lt;&gt;"Completed"),Logistics_Dates),0)),"")</f>
        <v/>
      </c>
      <c r="C21" s="3" t="str">
        <f ca="1">IFERROR(INDEX(Logistics!$A$3:$A$102,MATCH(A21,IF((Logistics_Status&lt;&gt;"Completed"),Logistics_Dates),0)),"")</f>
        <v/>
      </c>
      <c r="D21" s="3" t="str">
        <f ca="1">IFERROR(INDEX(Logistics!$D$3:$D$102,MATCH(A21,IF((Logistics_Status&lt;&gt;"Completed"),Logistics_Dates),0)),"")</f>
        <v/>
      </c>
      <c r="E21" s="3" t="str">
        <f ca="1">IFERROR(INDEX(Logistics!$G$3:$G$102,MATCH(A21,IF((Logistics_Status&lt;&gt;"Completed"),Logistics_Dates),0)),"")</f>
        <v/>
      </c>
      <c r="F21" s="3" t="str">
        <f ca="1">IFERROR(INDEX(Logistics!$N$3:$N$102,MATCH(A21,IF((Logistics_Status&lt;&gt;"Completed"),Logistics_Dates),0)),"")</f>
        <v/>
      </c>
    </row>
    <row r="22" spans="1:12" ht="15" customHeight="1" x14ac:dyDescent="0.25">
      <c r="A22" s="2" t="str">
        <f ca="1">IFERROR(SMALL(IF((Logistics_Dates&gt;=TODAY())*(Logistics_Dates&lt;=TODAY()+14)*(Logistics_Status&lt;&gt;"Completed"),Logistics_Dates),4),"")</f>
        <v/>
      </c>
      <c r="B22" s="3" t="str">
        <f ca="1">IFERROR(INDEX(Logistics!$B$3:$B$102,MATCH(A22,IF((Logistics_Status&lt;&gt;"Completed"),Logistics_Dates),0)),"")</f>
        <v/>
      </c>
      <c r="C22" s="3" t="str">
        <f ca="1">IFERROR(INDEX(Logistics!$A$3:$A$102,MATCH(A22,IF((Logistics_Status&lt;&gt;"Completed"),Logistics_Dates),0)),"")</f>
        <v/>
      </c>
      <c r="D22" s="3" t="str">
        <f ca="1">IFERROR(INDEX(Logistics!$D$3:$D$102,MATCH(A22,IF((Logistics_Status&lt;&gt;"Completed"),Logistics_Dates),0)),"")</f>
        <v/>
      </c>
      <c r="E22" s="3" t="str">
        <f ca="1">IFERROR(INDEX(Logistics!$G$3:$G$102,MATCH(A22,IF((Logistics_Status&lt;&gt;"Completed"),Logistics_Dates),0)),"")</f>
        <v/>
      </c>
      <c r="F22" s="3" t="str">
        <f ca="1">IFERROR(INDEX(Logistics!$N$3:$N$102,MATCH(A22,IF((Logistics_Status&lt;&gt;"Completed"),Logistics_Dates),0)),"")</f>
        <v/>
      </c>
    </row>
    <row r="23" spans="1:12" ht="15" customHeight="1" x14ac:dyDescent="0.25">
      <c r="A23" s="2" t="str">
        <f ca="1">IFERROR(SMALL(IF((Logistics_Dates&gt;=TODAY())*(Logistics_Dates&lt;=TODAY()+14)*(Logistics_Status&lt;&gt;"Completed"),Logistics_Dates),5),"")</f>
        <v/>
      </c>
      <c r="B23" s="3" t="str">
        <f ca="1">IFERROR(INDEX(Logistics!$B$3:$B$102,MATCH(A23,IF((Logistics_Status&lt;&gt;"Completed"),Logistics_Dates),0)),"")</f>
        <v/>
      </c>
      <c r="C23" s="3" t="str">
        <f ca="1">IFERROR(INDEX(Logistics!$A$3:$A$102,MATCH(A23,IF((Logistics_Status&lt;&gt;"Completed"),Logistics_Dates),0)),"")</f>
        <v/>
      </c>
      <c r="D23" s="3" t="str">
        <f ca="1">IFERROR(INDEX(Logistics!$D$3:$D$102,MATCH(A23,IF((Logistics_Status&lt;&gt;"Completed"),Logistics_Dates),0)),"")</f>
        <v/>
      </c>
      <c r="E23" s="3" t="str">
        <f ca="1">IFERROR(INDEX(Logistics!$G$3:$G$102,MATCH(A23,IF((Logistics_Status&lt;&gt;"Completed"),Logistics_Dates),0)),"")</f>
        <v/>
      </c>
      <c r="F23" s="3" t="str">
        <f ca="1">IFERROR(INDEX(Logistics!$N$3:$N$102,MATCH(A23,IF((Logistics_Status&lt;&gt;"Completed"),Logistics_Dates),0)),"")</f>
        <v/>
      </c>
    </row>
    <row r="24" spans="1:12" ht="15" customHeight="1" x14ac:dyDescent="0.25">
      <c r="A24" s="2" t="str">
        <f ca="1">IFERROR(SMALL(IF((Logistics_Dates&gt;=TODAY())*(Logistics_Dates&lt;=TODAY()+14)*(Logistics_Status&lt;&gt;"Completed"),Logistics_Dates),6),"")</f>
        <v/>
      </c>
      <c r="B24" s="3" t="str">
        <f ca="1">IFERROR(INDEX(Logistics!$B$3:$B$102,MATCH(A24,IF((Logistics_Status&lt;&gt;"Completed"),Logistics_Dates),0)),"")</f>
        <v/>
      </c>
      <c r="C24" s="3" t="str">
        <f ca="1">IFERROR(INDEX(Logistics!$A$3:$A$102,MATCH(A24,IF((Logistics_Status&lt;&gt;"Completed"),Logistics_Dates),0)),"")</f>
        <v/>
      </c>
      <c r="D24" s="3" t="str">
        <f ca="1">IFERROR(INDEX(Logistics!$D$3:$D$102,MATCH(A24,IF((Logistics_Status&lt;&gt;"Completed"),Logistics_Dates),0)),"")</f>
        <v/>
      </c>
      <c r="E24" s="3" t="str">
        <f ca="1">IFERROR(INDEX(Logistics!$G$3:$G$102,MATCH(A24,IF((Logistics_Status&lt;&gt;"Completed"),Logistics_Dates),0)),"")</f>
        <v/>
      </c>
      <c r="F24" s="3" t="str">
        <f ca="1">IFERROR(INDEX(Logistics!$N$3:$N$102,MATCH(A24,IF((Logistics_Status&lt;&gt;"Completed"),Logistics_Dates),0)),"")</f>
        <v/>
      </c>
    </row>
    <row r="25" spans="1:12" ht="15" customHeight="1" x14ac:dyDescent="0.25">
      <c r="A25" s="2" t="str">
        <f ca="1">IFERROR(SMALL(IF((Logistics_Dates&gt;=TODAY())*(Logistics_Dates&lt;=TODAY()+14)*(Logistics_Status&lt;&gt;"Completed"),Logistics_Dates),7),"")</f>
        <v/>
      </c>
      <c r="B25" s="3" t="str">
        <f ca="1">IFERROR(INDEX(Logistics!$B$3:$B$102,MATCH(A25,IF((Logistics_Status&lt;&gt;"Completed"),Logistics_Dates),0)),"")</f>
        <v/>
      </c>
      <c r="C25" s="3" t="str">
        <f ca="1">IFERROR(INDEX(Logistics!$A$3:$A$102,MATCH(A25,IF((Logistics_Status&lt;&gt;"Completed"),Logistics_Dates),0)),"")</f>
        <v/>
      </c>
      <c r="D25" s="3" t="str">
        <f ca="1">IFERROR(INDEX(Logistics!$D$3:$D$102,MATCH(A25,IF((Logistics_Status&lt;&gt;"Completed"),Logistics_Dates),0)),"")</f>
        <v/>
      </c>
      <c r="E25" s="3" t="str">
        <f ca="1">IFERROR(INDEX(Logistics!$G$3:$G$102,MATCH(A25,IF((Logistics_Status&lt;&gt;"Completed"),Logistics_Dates),0)),"")</f>
        <v/>
      </c>
      <c r="F25" s="3" t="str">
        <f ca="1">IFERROR(INDEX(Logistics!$N$3:$N$102,MATCH(A25,IF((Logistics_Status&lt;&gt;"Completed"),Logistics_Dates),0)),"")</f>
        <v/>
      </c>
    </row>
    <row r="26" spans="1:12" ht="15" customHeight="1" x14ac:dyDescent="0.25">
      <c r="A26" s="2" t="str">
        <f ca="1">IFERROR(SMALL(IF((Logistics_Dates&gt;=TODAY())*(Logistics_Dates&lt;=TODAY()+14)*(Logistics_Status&lt;&gt;"Completed"),Logistics_Dates),8),"")</f>
        <v/>
      </c>
      <c r="B26" s="3" t="str">
        <f ca="1">IFERROR(INDEX(Logistics!$B$3:$B$102,MATCH(A26,IF((Logistics_Status&lt;&gt;"Completed"),Logistics_Dates),0)),"")</f>
        <v/>
      </c>
      <c r="C26" s="3" t="str">
        <f ca="1">IFERROR(INDEX(Logistics!$A$3:$A$102,MATCH(A26,IF((Logistics_Status&lt;&gt;"Completed"),Logistics_Dates),0)),"")</f>
        <v/>
      </c>
      <c r="D26" s="3" t="str">
        <f ca="1">IFERROR(INDEX(Logistics!$D$3:$D$102,MATCH(A26,IF((Logistics_Status&lt;&gt;"Completed"),Logistics_Dates),0)),"")</f>
        <v/>
      </c>
      <c r="E26" s="3" t="str">
        <f ca="1">IFERROR(INDEX(Logistics!$G$3:$G$102,MATCH(A26,IF((Logistics_Status&lt;&gt;"Completed"),Logistics_Dates),0)),"")</f>
        <v/>
      </c>
      <c r="F26" s="3" t="str">
        <f ca="1">IFERROR(INDEX(Logistics!$N$3:$N$102,MATCH(A26,IF((Logistics_Status&lt;&gt;"Completed"),Logistics_Dates),0)),"")</f>
        <v/>
      </c>
    </row>
    <row r="27" spans="1:12" ht="15" customHeight="1" x14ac:dyDescent="0.25">
      <c r="A27" s="2" t="str">
        <f ca="1">IFERROR(SMALL(IF((Logistics_Dates&gt;=TODAY())*(Logistics_Dates&lt;=TODAY()+14)*(Logistics_Status&lt;&gt;"Completed"),Logistics_Dates),9),"")</f>
        <v/>
      </c>
      <c r="B27" s="3" t="str">
        <f ca="1">IFERROR(INDEX(Logistics!$B$3:$B$102,MATCH(A27,IF((Logistics_Status&lt;&gt;"Completed"),Logistics_Dates),0)),"")</f>
        <v/>
      </c>
      <c r="C27" s="3" t="str">
        <f ca="1">IFERROR(INDEX(Logistics!$A$3:$A$102,MATCH(A27,IF((Logistics_Status&lt;&gt;"Completed"),Logistics_Dates),0)),"")</f>
        <v/>
      </c>
      <c r="D27" s="3" t="str">
        <f ca="1">IFERROR(INDEX(Logistics!$D$3:$D$102,MATCH(A27,IF((Logistics_Status&lt;&gt;"Completed"),Logistics_Dates),0)),"")</f>
        <v/>
      </c>
      <c r="E27" s="3" t="str">
        <f ca="1">IFERROR(INDEX(Logistics!$G$3:$G$102,MATCH(A27,IF((Logistics_Status&lt;&gt;"Completed"),Logistics_Dates),0)),"")</f>
        <v/>
      </c>
      <c r="F27" s="3" t="str">
        <f ca="1">IFERROR(INDEX(Logistics!$N$3:$N$102,MATCH(A27,IF((Logistics_Status&lt;&gt;"Completed"),Logistics_Dates),0)),"")</f>
        <v/>
      </c>
    </row>
    <row r="28" spans="1:12" ht="21.75" customHeight="1" x14ac:dyDescent="0.25">
      <c r="A28" s="34" t="s">
        <v>24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ht="15" customHeight="1" x14ac:dyDescent="0.25">
      <c r="A29" s="35" t="s">
        <v>25</v>
      </c>
      <c r="B29" s="35"/>
      <c r="C29" s="36" t="s">
        <v>26</v>
      </c>
      <c r="D29" s="36"/>
      <c r="E29" s="37" t="s">
        <v>27</v>
      </c>
      <c r="F29" s="37"/>
      <c r="G29" s="37" t="s">
        <v>28</v>
      </c>
      <c r="H29" s="37"/>
      <c r="I29" s="35" t="s">
        <v>29</v>
      </c>
      <c r="J29" s="35"/>
      <c r="K29" s="35" t="s">
        <v>30</v>
      </c>
      <c r="L29" s="35"/>
    </row>
    <row r="30" spans="1:12" ht="15" customHeight="1" x14ac:dyDescent="0.25">
      <c r="A30" s="38">
        <f>SUMIF(Invoices!$L$3:$L$202,"&gt;0")</f>
        <v>38258.5</v>
      </c>
      <c r="B30" s="38"/>
      <c r="C30" s="39">
        <f>COUNTIF(Invoices!$M$3:$M$202,"Overdue")</f>
        <v>0</v>
      </c>
      <c r="D30" s="39"/>
      <c r="E30" s="40">
        <f>SUMIFS(Invoices!$H$3:$H$202,Invoices!$M$3:$M$202,"Paid")</f>
        <v>5677.2000000000007</v>
      </c>
      <c r="F30" s="40"/>
      <c r="G30" s="41">
        <f>COUNTIFS(Purchase_Orders!$L$3:$L$202,"&lt;&gt;Received",Purchase_Orders!$B$3:$B$202,"&lt;&gt;")</f>
        <v>10</v>
      </c>
      <c r="H30" s="41"/>
      <c r="I30" s="42">
        <f>COUNTIFS(Snags!$H$3:$H$152,"&lt;&gt;Resolved",Snags!$H$3:$H$152,"&lt;&gt;Closed",Snags!$B$3:$B$152,"&lt;&gt;")</f>
        <v>4</v>
      </c>
      <c r="J30" s="42"/>
      <c r="K30" s="42">
        <f>COUNTIFS(Quote_Followup!$I$3:$I$102,"Pending")</f>
        <v>0</v>
      </c>
      <c r="L30" s="42"/>
    </row>
    <row r="31" spans="1:12" ht="15" customHeight="1" x14ac:dyDescent="0.25">
      <c r="A31" s="43" t="s">
        <v>31</v>
      </c>
      <c r="B31" s="43"/>
      <c r="C31" s="44" t="s">
        <v>32</v>
      </c>
      <c r="D31" s="44"/>
      <c r="E31" s="45" t="s">
        <v>33</v>
      </c>
      <c r="F31" s="45"/>
      <c r="G31" s="45" t="s">
        <v>34</v>
      </c>
      <c r="H31" s="45"/>
      <c r="I31" s="43" t="s">
        <v>35</v>
      </c>
      <c r="J31" s="43"/>
      <c r="K31" s="43" t="s">
        <v>36</v>
      </c>
      <c r="L31" s="43"/>
    </row>
    <row r="32" spans="1:12" ht="15" customHeight="1" x14ac:dyDescent="0.25">
      <c r="A32" s="4" t="s">
        <v>37</v>
      </c>
      <c r="B32" s="5">
        <f>SUMIFS(Project_Profit,Project_Categories,"Kitchens")</f>
        <v>28700</v>
      </c>
    </row>
    <row r="33" spans="1:12" ht="21.75" customHeight="1" x14ac:dyDescent="0.25">
      <c r="A33" s="46" t="s">
        <v>38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</row>
    <row r="34" spans="1:12" ht="15" customHeight="1" x14ac:dyDescent="0.25">
      <c r="A34" s="47" t="s">
        <v>39</v>
      </c>
      <c r="B34" s="47"/>
      <c r="C34" s="35" t="s">
        <v>40</v>
      </c>
      <c r="D34" s="35"/>
      <c r="E34" s="37" t="s">
        <v>41</v>
      </c>
      <c r="F34" s="37"/>
      <c r="G34" s="36" t="s">
        <v>42</v>
      </c>
      <c r="H34" s="36"/>
      <c r="I34" s="37" t="s">
        <v>43</v>
      </c>
      <c r="J34" s="37"/>
      <c r="K34" s="37" t="s">
        <v>44</v>
      </c>
      <c r="L34" s="37"/>
    </row>
    <row r="35" spans="1:12" ht="15" customHeight="1" x14ac:dyDescent="0.25">
      <c r="A35" s="48">
        <f ca="1">COUNTIF(Warranty!$H$3:$H$202,"Active")</f>
        <v>10</v>
      </c>
      <c r="B35" s="48"/>
      <c r="C35" s="42">
        <f ca="1">COUNTIF(Warranty!$H$3:$H$202,"Expiring_soon")</f>
        <v>0</v>
      </c>
      <c r="D35" s="42"/>
      <c r="E35" s="40">
        <f>SUM(Variance!$I$3:$I$102)</f>
        <v>88621.84</v>
      </c>
      <c r="F35" s="40"/>
      <c r="G35" s="39">
        <f>COUNTIFS(Variance!$K$3:$K$102,"Over")+COUNTIFS(Variance!$K$3:$K$102,"Critical over")</f>
        <v>0</v>
      </c>
      <c r="H35" s="39"/>
      <c r="I35" s="40">
        <f>SUMIFS(Subcontractors!$G$3:$G$62,Subcontractors!$K$3:$K$62,"Completed")+SUMIFS(Subcontractors!$G$3:$G$62,Subcontractors!$K$3:$K$62,"Paid")</f>
      </c>
      <c r="J35" s="40"/>
      <c r="K35" s="49">
        <f>IFERROR(AVERAGE(Capacity!$M$19:$M$28),0)</f>
      </c>
      <c r="L35" s="49"/>
    </row>
    <row r="36" spans="1:12" ht="15" customHeight="1" x14ac:dyDescent="0.25">
      <c r="A36" s="50" t="s">
        <v>45</v>
      </c>
      <c r="B36" s="50"/>
      <c r="C36" s="43" t="s">
        <v>46</v>
      </c>
      <c r="D36" s="43"/>
      <c r="E36" s="45" t="s">
        <v>47</v>
      </c>
      <c r="F36" s="45"/>
      <c r="G36" s="44" t="s">
        <v>48</v>
      </c>
      <c r="H36" s="44"/>
      <c r="I36" s="45" t="s">
        <v>49</v>
      </c>
      <c r="J36" s="45"/>
      <c r="K36" s="45" t="s">
        <v>50</v>
      </c>
      <c r="L36" s="45"/>
    </row>
    <row r="37" spans="1:12" ht="15" customHeight="1" x14ac:dyDescent="0.25">
      <c r="A37" s="4" t="s">
        <v>51</v>
      </c>
      <c r="B37" s="5">
        <f>SUMIFS(Project_Profit,Project_Categories,"Cabinets")</f>
        <v>1800</v>
      </c>
    </row>
    <row r="38" spans="1:12" ht="21.75" customHeight="1" x14ac:dyDescent="0.25">
      <c r="A38" s="51" t="s">
        <v>52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1:12" ht="15" customHeight="1" x14ac:dyDescent="0.25">
      <c r="A39" s="47" t="s">
        <v>53</v>
      </c>
      <c r="B39" s="47"/>
      <c r="C39" s="37" t="s">
        <v>54</v>
      </c>
      <c r="D39" s="37"/>
      <c r="E39" s="37" t="s">
        <v>55</v>
      </c>
      <c r="F39" s="37"/>
      <c r="G39" s="37" t="s">
        <v>56</v>
      </c>
      <c r="H39" s="37"/>
      <c r="I39" s="37" t="s">
        <v>57</v>
      </c>
      <c r="J39" s="37"/>
      <c r="K39" s="47" t="s">
        <v>58</v>
      </c>
      <c r="L39" s="47"/>
    </row>
    <row r="40" spans="1:12" ht="18" x14ac:dyDescent="0.25">
      <c r="A40" s="52">
        <f>SUM(Bank_Current_Balance)</f>
        <v>-4605</v>
      </c>
      <c r="B40" s="52"/>
      <c r="C40" s="40">
        <f>SUMIF(CF_Type,"Inflow",CF_Amount)</f>
        <v>35000</v>
      </c>
      <c r="D40" s="40"/>
      <c r="E40" s="40">
        <f>SUMIF(CF_Type,"Outflow",CF_Amount)</f>
        <v>103105</v>
      </c>
      <c r="F40" s="40"/>
      <c r="G40" s="53">
        <f>SUMIF(CF_Type,"Inflow",CF_Amount)-SUMIF(CF_Type,"Outflow",CF_Amount)</f>
        <v>-68105</v>
      </c>
      <c r="H40" s="53"/>
      <c r="I40" s="40">
        <f>SUM(Exp_Net)</f>
        <v>8106.0099999999993</v>
      </c>
      <c r="J40" s="40"/>
      <c r="K40" s="54">
        <f>P_L!$N$33</f>
      </c>
      <c r="L40" s="54"/>
    </row>
    <row r="41" spans="1:12" ht="15" customHeight="1" x14ac:dyDescent="0.25">
      <c r="A41" s="50" t="s">
        <v>59</v>
      </c>
      <c r="B41" s="50"/>
      <c r="C41" s="45" t="s">
        <v>60</v>
      </c>
      <c r="D41" s="45"/>
      <c r="E41" s="45" t="s">
        <v>61</v>
      </c>
      <c r="F41" s="45"/>
      <c r="G41" s="45" t="s">
        <v>62</v>
      </c>
      <c r="H41" s="45"/>
      <c r="I41" s="45" t="s">
        <v>63</v>
      </c>
      <c r="J41" s="45"/>
      <c r="K41" s="50" t="s">
        <v>64</v>
      </c>
      <c r="L41" s="50"/>
    </row>
    <row r="43" spans="1:12" ht="21.75" customHeight="1" x14ac:dyDescent="0.25">
      <c r="A43" s="46" t="s">
        <v>65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1:12" ht="15" customHeight="1" x14ac:dyDescent="0.25">
      <c r="A44" s="37" t="s">
        <v>66</v>
      </c>
      <c r="B44" s="37"/>
      <c r="C44" s="37" t="s">
        <v>67</v>
      </c>
      <c r="D44" s="37"/>
      <c r="E44" s="35" t="s">
        <v>68</v>
      </c>
      <c r="F44" s="35"/>
      <c r="G44" s="35" t="s">
        <v>69</v>
      </c>
      <c r="H44" s="35"/>
      <c r="I44" s="37" t="s">
        <v>70</v>
      </c>
      <c r="J44" s="37"/>
      <c r="K44" s="36" t="s">
        <v>71</v>
      </c>
      <c r="L44" s="36"/>
    </row>
    <row r="45" spans="1:12" ht="18" x14ac:dyDescent="0.25">
      <c r="A45" s="40">
        <f>SUMIFS(Leads!$H$3:$H$302,Leads!$K$3:$K$302,"&lt;&gt;Won",Leads!$K$3:$K$302,"&lt;&gt;Lost")</f>
        <v>84800</v>
      </c>
      <c r="B45" s="40"/>
      <c r="C45" s="40">
        <f>SUMIFS(Leads!$J$3:$J$302,Leads!$K$3:$K$302,"&lt;&gt;Won",Leads!$K$3:$K$302,"&lt;&gt;Lost")</f>
        <v>46010</v>
      </c>
      <c r="D45" s="40"/>
      <c r="E45" s="42">
        <f ca="1">COUNTIF(Renewals!$I$3:$I$52,"Due_soon")+COUNTIF(Renewals!$I$3:$I$52,"Urgent")+COUNTIF(Renewals!$I$3:$I$52,"Expired")</f>
        <v>6</v>
      </c>
      <c r="F45" s="42"/>
      <c r="G45" s="42">
        <f>COUNTIF(Consumables!$I$3:$I$502,"Reorder")+COUNTIF(Consumables!$I$3:$I$502,"Critical")</f>
        <v>6</v>
      </c>
      <c r="H45" s="42"/>
      <c r="I45" s="40">
        <f ca="1">Equipment!$H$23</f>
        <v>111060.0684931507</v>
      </c>
      <c r="J45" s="40"/>
      <c r="K45" s="55">
        <f>INDEX(VAT_Return!$G$3:$G$20,MATCH("Draft",VAT_Return!$I$3:$I$20,0))</f>
        <v>1595.7929000000001</v>
      </c>
      <c r="L45" s="55"/>
    </row>
    <row r="46" spans="1:12" ht="15" customHeight="1" x14ac:dyDescent="0.25">
      <c r="A46" s="45" t="s">
        <v>72</v>
      </c>
      <c r="B46" s="45"/>
      <c r="C46" s="45" t="s">
        <v>73</v>
      </c>
      <c r="D46" s="45"/>
      <c r="E46" s="43" t="s">
        <v>74</v>
      </c>
      <c r="F46" s="43"/>
      <c r="G46" s="43" t="s">
        <v>75</v>
      </c>
      <c r="H46" s="43"/>
      <c r="I46" s="45" t="s">
        <v>76</v>
      </c>
      <c r="J46" s="45"/>
      <c r="K46" s="44" t="s">
        <v>77</v>
      </c>
      <c r="L46" s="44"/>
    </row>
    <row r="48" spans="1:12" x14ac:dyDescent="0.25">
      <c r="A48" s="59" t="s">
        <v>1771</v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11">
    <mergeCell ref="A45:B45"/>
    <mergeCell ref="C45:D45"/>
    <mergeCell ref="E45:F45"/>
    <mergeCell ref="G45:H45"/>
    <mergeCell ref="I45:J45"/>
    <mergeCell ref="K45:L45"/>
    <mergeCell ref="A46:B46"/>
    <mergeCell ref="C46:D46"/>
    <mergeCell ref="E46:F46"/>
    <mergeCell ref="G46:H46"/>
    <mergeCell ref="I46:J46"/>
    <mergeCell ref="K46:L46"/>
    <mergeCell ref="A41:B41"/>
    <mergeCell ref="C41:D41"/>
    <mergeCell ref="E41:F41"/>
    <mergeCell ref="G41:H41"/>
    <mergeCell ref="I41:J41"/>
    <mergeCell ref="K41:L41"/>
    <mergeCell ref="A43:L43"/>
    <mergeCell ref="A44:B44"/>
    <mergeCell ref="C44:D44"/>
    <mergeCell ref="E44:F44"/>
    <mergeCell ref="G44:H44"/>
    <mergeCell ref="I44:J44"/>
    <mergeCell ref="K44:L44"/>
    <mergeCell ref="A38:L38"/>
    <mergeCell ref="A39:B39"/>
    <mergeCell ref="C39:D39"/>
    <mergeCell ref="E39:F39"/>
    <mergeCell ref="G39:H39"/>
    <mergeCell ref="I39:J39"/>
    <mergeCell ref="K39:L39"/>
    <mergeCell ref="A40:B40"/>
    <mergeCell ref="C40:D40"/>
    <mergeCell ref="E40:F40"/>
    <mergeCell ref="G40:H40"/>
    <mergeCell ref="I40:J40"/>
    <mergeCell ref="K40:L40"/>
    <mergeCell ref="A35:B35"/>
    <mergeCell ref="C35:D35"/>
    <mergeCell ref="E35:F35"/>
    <mergeCell ref="G35:H35"/>
    <mergeCell ref="I35:J35"/>
    <mergeCell ref="K35:L35"/>
    <mergeCell ref="A36:B36"/>
    <mergeCell ref="C36:D36"/>
    <mergeCell ref="E36:F36"/>
    <mergeCell ref="G36:H36"/>
    <mergeCell ref="I36:J36"/>
    <mergeCell ref="K36:L36"/>
    <mergeCell ref="A31:B31"/>
    <mergeCell ref="C31:D31"/>
    <mergeCell ref="E31:F31"/>
    <mergeCell ref="G31:H31"/>
    <mergeCell ref="I31:J31"/>
    <mergeCell ref="K31:L31"/>
    <mergeCell ref="A33:L33"/>
    <mergeCell ref="A34:B34"/>
    <mergeCell ref="C34:D34"/>
    <mergeCell ref="E34:F34"/>
    <mergeCell ref="G34:H34"/>
    <mergeCell ref="I34:J34"/>
    <mergeCell ref="K34:L34"/>
    <mergeCell ref="A17:L17"/>
    <mergeCell ref="A28:L28"/>
    <mergeCell ref="A29:B29"/>
    <mergeCell ref="C29:D29"/>
    <mergeCell ref="E29:F29"/>
    <mergeCell ref="G29:H29"/>
    <mergeCell ref="I29:J29"/>
    <mergeCell ref="K29:L29"/>
    <mergeCell ref="A30:B30"/>
    <mergeCell ref="C30:D30"/>
    <mergeCell ref="E30:F30"/>
    <mergeCell ref="G30:H30"/>
    <mergeCell ref="I30:J30"/>
    <mergeCell ref="K30:L30"/>
    <mergeCell ref="A11:C12"/>
    <mergeCell ref="D11:F12"/>
    <mergeCell ref="G11:I12"/>
    <mergeCell ref="J11:L12"/>
    <mergeCell ref="A13:C13"/>
    <mergeCell ref="D13:F13"/>
    <mergeCell ref="G13:I13"/>
    <mergeCell ref="J13:L13"/>
    <mergeCell ref="A14:C15"/>
    <mergeCell ref="D14:F15"/>
    <mergeCell ref="G14:I15"/>
    <mergeCell ref="J14:L15"/>
    <mergeCell ref="A7:C7"/>
    <mergeCell ref="D7:F7"/>
    <mergeCell ref="G7:I7"/>
    <mergeCell ref="J7:L7"/>
    <mergeCell ref="A8:C9"/>
    <mergeCell ref="D8:F9"/>
    <mergeCell ref="G8:I9"/>
    <mergeCell ref="J8:L9"/>
    <mergeCell ref="A10:C10"/>
    <mergeCell ref="D10:F10"/>
    <mergeCell ref="G10:I10"/>
    <mergeCell ref="J10:L10"/>
    <mergeCell ref="A1:L1"/>
    <mergeCell ref="A2:L2"/>
    <mergeCell ref="A4:C4"/>
    <mergeCell ref="D4:F4"/>
    <mergeCell ref="G4:I4"/>
    <mergeCell ref="J4:L4"/>
    <mergeCell ref="A5:C6"/>
    <mergeCell ref="D5:F6"/>
    <mergeCell ref="G5:I6"/>
    <mergeCell ref="J5:L6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K10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2" width="12" customWidth="1"/>
    <col min="3" max="3" width="20" customWidth="1"/>
    <col min="4" max="4" width="10" customWidth="1"/>
    <col min="5" max="5" width="24" customWidth="1"/>
    <col min="6" max="6" width="14" customWidth="1"/>
    <col min="7" max="7" width="12" customWidth="1"/>
    <col min="8" max="9" width="16" customWidth="1"/>
    <col min="10" max="10" width="14" customWidth="1"/>
    <col min="11" max="11" width="30" customWidth="1"/>
  </cols>
  <sheetData>
    <row r="1" spans="1:11" ht="18" x14ac:dyDescent="0.25">
      <c r="A1" s="60" t="s">
        <v>867</v>
      </c>
      <c r="B1" s="61"/>
      <c r="C1" s="61"/>
      <c r="D1" s="61"/>
      <c r="E1" s="61"/>
      <c r="F1" s="62" t="s">
        <v>868</v>
      </c>
      <c r="G1" s="69">
        <f>SUMIF(D3:D1002,"Inflow",F3:F1002)</f>
        <v>35000</v>
      </c>
      <c r="H1" s="62" t="s">
        <v>869</v>
      </c>
      <c r="I1" s="69">
        <f>SUMIF(D3:D1002,"Outflow",F3:F1002)</f>
        <v>103105</v>
      </c>
      <c r="J1" s="62" t="s">
        <v>870</v>
      </c>
      <c r="K1" s="69">
        <f>G1-I1</f>
        <v>-68105</v>
      </c>
    </row>
    <row r="2" spans="1:11" ht="27.75" customHeight="1" x14ac:dyDescent="0.25">
      <c r="A2" s="63" t="s">
        <v>18</v>
      </c>
      <c r="B2" s="63" t="s">
        <v>871</v>
      </c>
      <c r="C2" s="63" t="s">
        <v>334</v>
      </c>
      <c r="D2" s="63" t="s">
        <v>21</v>
      </c>
      <c r="E2" s="63" t="s">
        <v>801</v>
      </c>
      <c r="F2" s="63" t="s">
        <v>872</v>
      </c>
      <c r="G2" s="63" t="s">
        <v>873</v>
      </c>
      <c r="H2" s="63" t="s">
        <v>874</v>
      </c>
      <c r="I2" s="63" t="s">
        <v>875</v>
      </c>
      <c r="J2" s="63" t="s">
        <v>876</v>
      </c>
      <c r="K2" s="63" t="s">
        <v>226</v>
      </c>
    </row>
    <row r="3" spans="1:11" x14ac:dyDescent="0.25">
      <c r="A3" s="65">
        <v>46027</v>
      </c>
      <c r="B3" s="64" t="s">
        <v>877</v>
      </c>
      <c r="C3" s="64" t="s">
        <v>878</v>
      </c>
      <c r="D3" s="64" t="s">
        <v>879</v>
      </c>
      <c r="E3" s="64" t="s">
        <v>880</v>
      </c>
      <c r="F3" s="66">
        <v>6800</v>
      </c>
      <c r="G3" s="64" t="s">
        <v>881</v>
      </c>
      <c r="H3" s="64" t="s">
        <v>628</v>
      </c>
      <c r="I3" s="157">
        <f>IF(A3="","",SUMIF($D$3:$D$3,"Inflow",$F$3:$F$3)-SUMIF($D$3:$D$3,"Outflow",$F$3:$F$3)+SUM(Bank_Accounts!$E$3:$E$22))</f>
      </c>
      <c r="J3" s="156" t="s">
        <v>688</v>
      </c>
      <c r="K3" s="64"/>
    </row>
    <row r="4" spans="1:11" x14ac:dyDescent="0.25">
      <c r="A4" s="65">
        <v>46030</v>
      </c>
      <c r="B4" s="64" t="s">
        <v>882</v>
      </c>
      <c r="C4" s="64" t="s">
        <v>883</v>
      </c>
      <c r="D4" s="64" t="s">
        <v>884</v>
      </c>
      <c r="E4" s="64" t="s">
        <v>885</v>
      </c>
      <c r="F4" s="66">
        <v>2450</v>
      </c>
      <c r="G4" s="64" t="s">
        <v>881</v>
      </c>
      <c r="H4" s="64" t="s">
        <v>886</v>
      </c>
      <c r="I4" s="157">
        <f>IF(A4="","",SUMIF($D$3:$D$4,"Inflow",$F$3:$F$4)-SUMIF($D$3:$D$4,"Outflow",$F$3:$F$4)+SUM(Bank_Accounts!$E$3:$E$22))</f>
      </c>
      <c r="J4" s="156" t="s">
        <v>688</v>
      </c>
      <c r="K4" s="64"/>
    </row>
    <row r="5" spans="1:11" x14ac:dyDescent="0.25">
      <c r="A5" s="65">
        <v>46037</v>
      </c>
      <c r="B5" s="64" t="s">
        <v>887</v>
      </c>
      <c r="C5" s="64" t="s">
        <v>888</v>
      </c>
      <c r="D5" s="64" t="s">
        <v>884</v>
      </c>
      <c r="E5" s="64" t="s">
        <v>889</v>
      </c>
      <c r="F5" s="66">
        <v>1800</v>
      </c>
      <c r="G5" s="64" t="s">
        <v>881</v>
      </c>
      <c r="H5" s="64" t="s">
        <v>890</v>
      </c>
      <c r="I5" s="157">
        <f>IF(A5="","",SUMIF($D$3:$D$5,"Inflow",$F$3:$F$5)-SUMIF($D$3:$D$5,"Outflow",$F$3:$F$5)+SUM(Bank_Accounts!$E$3:$E$22))</f>
      </c>
      <c r="J5" s="156" t="s">
        <v>688</v>
      </c>
      <c r="K5" s="64"/>
    </row>
    <row r="6" spans="1:11" x14ac:dyDescent="0.25">
      <c r="A6" s="65">
        <v>46042</v>
      </c>
      <c r="B6" s="64" t="s">
        <v>891</v>
      </c>
      <c r="C6" s="64" t="s">
        <v>892</v>
      </c>
      <c r="D6" s="64" t="s">
        <v>884</v>
      </c>
      <c r="E6" s="64" t="s">
        <v>893</v>
      </c>
      <c r="F6" s="66">
        <v>640</v>
      </c>
      <c r="G6" s="64" t="s">
        <v>881</v>
      </c>
      <c r="H6" s="64" t="s">
        <v>894</v>
      </c>
      <c r="I6" s="157">
        <f>IF(A6="","",SUMIF($D$3:$D$6,"Inflow",$F$3:$F$6)-SUMIF($D$3:$D$6,"Outflow",$F$3:$F$6)+SUM(Bank_Accounts!$E$3:$E$22))</f>
      </c>
      <c r="J6" s="156" t="s">
        <v>688</v>
      </c>
      <c r="K6" s="64"/>
    </row>
    <row r="7" spans="1:11" x14ac:dyDescent="0.25">
      <c r="A7" s="65">
        <v>46050</v>
      </c>
      <c r="B7" s="64" t="s">
        <v>895</v>
      </c>
      <c r="C7" s="64" t="s">
        <v>896</v>
      </c>
      <c r="D7" s="64" t="s">
        <v>884</v>
      </c>
      <c r="E7" s="64" t="s">
        <v>897</v>
      </c>
      <c r="F7" s="66">
        <v>28500</v>
      </c>
      <c r="G7" s="64" t="s">
        <v>898</v>
      </c>
      <c r="H7" s="64" t="s">
        <v>896</v>
      </c>
      <c r="I7" s="157">
        <f>IF(A7="","",SUMIF($D$3:$D$7,"Inflow",$F$3:$F$7)-SUMIF($D$3:$D$7,"Outflow",$F$3:$F$7)+SUM(Bank_Accounts!$E$3:$E$22))</f>
      </c>
      <c r="J7" s="156" t="s">
        <v>688</v>
      </c>
      <c r="K7" s="64"/>
    </row>
    <row r="8" spans="1:11" x14ac:dyDescent="0.25">
      <c r="A8" s="65">
        <v>46055</v>
      </c>
      <c r="B8" s="64" t="s">
        <v>899</v>
      </c>
      <c r="C8" s="64" t="s">
        <v>878</v>
      </c>
      <c r="D8" s="64" t="s">
        <v>879</v>
      </c>
      <c r="E8" s="64" t="s">
        <v>900</v>
      </c>
      <c r="F8" s="66">
        <v>5200</v>
      </c>
      <c r="G8" s="64" t="s">
        <v>881</v>
      </c>
      <c r="H8" s="64" t="s">
        <v>654</v>
      </c>
      <c r="I8" s="157">
        <f>IF(A8="","",SUMIF($D$3:$D$8,"Inflow",$F$3:$F$8)-SUMIF($D$3:$D$8,"Outflow",$F$3:$F$8)+SUM(Bank_Accounts!$E$3:$E$22))</f>
      </c>
      <c r="J8" s="156" t="s">
        <v>688</v>
      </c>
      <c r="K8" s="64"/>
    </row>
    <row r="9" spans="1:11" x14ac:dyDescent="0.25">
      <c r="A9" s="65">
        <v>46063</v>
      </c>
      <c r="B9" s="64" t="s">
        <v>901</v>
      </c>
      <c r="C9" s="64" t="s">
        <v>883</v>
      </c>
      <c r="D9" s="64" t="s">
        <v>884</v>
      </c>
      <c r="E9" s="64" t="s">
        <v>902</v>
      </c>
      <c r="F9" s="66">
        <v>1280</v>
      </c>
      <c r="G9" s="64" t="s">
        <v>903</v>
      </c>
      <c r="H9" s="64" t="s">
        <v>904</v>
      </c>
      <c r="I9" s="157">
        <f>IF(A9="","",SUMIF($D$3:$D$9,"Inflow",$F$3:$F$9)-SUMIF($D$3:$D$9,"Outflow",$F$3:$F$9)+SUM(Bank_Accounts!$E$3:$E$22))</f>
      </c>
      <c r="J9" s="156" t="s">
        <v>688</v>
      </c>
      <c r="K9" s="64"/>
    </row>
    <row r="10" spans="1:11" x14ac:dyDescent="0.25">
      <c r="A10" s="65">
        <v>46068</v>
      </c>
      <c r="B10" s="64" t="s">
        <v>905</v>
      </c>
      <c r="C10" s="64" t="s">
        <v>906</v>
      </c>
      <c r="D10" s="64" t="s">
        <v>884</v>
      </c>
      <c r="E10" s="64" t="s">
        <v>907</v>
      </c>
      <c r="F10" s="66">
        <v>520</v>
      </c>
      <c r="G10" s="64" t="s">
        <v>881</v>
      </c>
      <c r="H10" s="64" t="s">
        <v>908</v>
      </c>
      <c r="I10" s="157">
        <f>IF(A10="","",SUMIF($D$3:$D$10,"Inflow",$F$3:$F$10)-SUMIF($D$3:$D$10,"Outflow",$F$3:$F$10)+SUM(Bank_Accounts!$E$3:$E$22))</f>
      </c>
      <c r="J10" s="156" t="s">
        <v>688</v>
      </c>
      <c r="K10" s="64"/>
    </row>
    <row r="11" spans="1:11" x14ac:dyDescent="0.25">
      <c r="A11" s="65">
        <v>46071</v>
      </c>
      <c r="B11" s="64" t="s">
        <v>909</v>
      </c>
      <c r="C11" s="64" t="s">
        <v>910</v>
      </c>
      <c r="D11" s="64" t="s">
        <v>884</v>
      </c>
      <c r="E11" s="64" t="s">
        <v>911</v>
      </c>
      <c r="F11" s="66">
        <v>850</v>
      </c>
      <c r="G11" s="64" t="s">
        <v>881</v>
      </c>
      <c r="H11" s="64" t="s">
        <v>805</v>
      </c>
      <c r="I11" s="157">
        <f>IF(A11="","",SUMIF($D$3:$D$11,"Inflow",$F$3:$F$11)-SUMIF($D$3:$D$11,"Outflow",$F$3:$F$11)+SUM(Bank_Accounts!$E$3:$E$22))</f>
      </c>
      <c r="J11" s="156" t="s">
        <v>688</v>
      </c>
      <c r="K11" s="64"/>
    </row>
    <row r="12" spans="1:11" x14ac:dyDescent="0.25">
      <c r="A12" s="65">
        <v>46078</v>
      </c>
      <c r="B12" s="64" t="s">
        <v>912</v>
      </c>
      <c r="C12" s="64" t="s">
        <v>878</v>
      </c>
      <c r="D12" s="64" t="s">
        <v>879</v>
      </c>
      <c r="E12" s="64" t="s">
        <v>913</v>
      </c>
      <c r="F12" s="66">
        <v>10200</v>
      </c>
      <c r="G12" s="64" t="s">
        <v>881</v>
      </c>
      <c r="H12" s="64" t="s">
        <v>628</v>
      </c>
      <c r="I12" s="157">
        <f>IF(A12="","",SUMIF($D$3:$D$12,"Inflow",$F$3:$F$12)-SUMIF($D$3:$D$12,"Outflow",$F$3:$F$12)+SUM(Bank_Accounts!$E$3:$E$22))</f>
      </c>
      <c r="J12" s="156" t="s">
        <v>688</v>
      </c>
      <c r="K12" s="64"/>
    </row>
    <row r="13" spans="1:11" x14ac:dyDescent="0.25">
      <c r="A13" s="65">
        <v>46081</v>
      </c>
      <c r="B13" s="64" t="s">
        <v>914</v>
      </c>
      <c r="C13" s="64" t="s">
        <v>896</v>
      </c>
      <c r="D13" s="64" t="s">
        <v>884</v>
      </c>
      <c r="E13" s="64" t="s">
        <v>915</v>
      </c>
      <c r="F13" s="66">
        <v>28500</v>
      </c>
      <c r="G13" s="64" t="s">
        <v>898</v>
      </c>
      <c r="H13" s="64" t="s">
        <v>896</v>
      </c>
      <c r="I13" s="157">
        <f>IF(A13="","",SUMIF($D$3:$D$13,"Inflow",$F$3:$F$13)-SUMIF($D$3:$D$13,"Outflow",$F$3:$F$13)+SUM(Bank_Accounts!$E$3:$E$22))</f>
      </c>
      <c r="J13" s="156" t="s">
        <v>688</v>
      </c>
      <c r="K13" s="64"/>
    </row>
    <row r="14" spans="1:11" x14ac:dyDescent="0.25">
      <c r="A14" s="65">
        <v>46086</v>
      </c>
      <c r="B14" s="64" t="s">
        <v>916</v>
      </c>
      <c r="C14" s="64" t="s">
        <v>917</v>
      </c>
      <c r="D14" s="64" t="s">
        <v>884</v>
      </c>
      <c r="E14" s="64" t="s">
        <v>918</v>
      </c>
      <c r="F14" s="66">
        <v>4200</v>
      </c>
      <c r="G14" s="64" t="s">
        <v>919</v>
      </c>
      <c r="H14" s="64" t="s">
        <v>920</v>
      </c>
      <c r="I14" s="157">
        <f>IF(A14="","",SUMIF($D$3:$D$14,"Inflow",$F$3:$F$14)-SUMIF($D$3:$D$14,"Outflow",$F$3:$F$14)+SUM(Bank_Accounts!$E$3:$E$22))</f>
      </c>
      <c r="J14" s="156" t="s">
        <v>688</v>
      </c>
      <c r="K14" s="64"/>
    </row>
    <row r="15" spans="1:11" x14ac:dyDescent="0.25">
      <c r="A15" s="65">
        <v>46093</v>
      </c>
      <c r="B15" s="64" t="s">
        <v>921</v>
      </c>
      <c r="C15" s="64" t="s">
        <v>878</v>
      </c>
      <c r="D15" s="64" t="s">
        <v>879</v>
      </c>
      <c r="E15" s="64" t="s">
        <v>922</v>
      </c>
      <c r="F15" s="66">
        <v>4400</v>
      </c>
      <c r="G15" s="64" t="s">
        <v>881</v>
      </c>
      <c r="H15" s="64" t="s">
        <v>923</v>
      </c>
      <c r="I15" s="157">
        <f>IF(A15="","",SUMIF($D$3:$D$15,"Inflow",$F$3:$F$15)-SUMIF($D$3:$D$15,"Outflow",$F$3:$F$15)+SUM(Bank_Accounts!$E$3:$E$22))</f>
      </c>
      <c r="J15" s="156" t="s">
        <v>688</v>
      </c>
      <c r="K15" s="64"/>
    </row>
    <row r="16" spans="1:11" x14ac:dyDescent="0.25">
      <c r="A16" s="65">
        <v>46101</v>
      </c>
      <c r="B16" s="64" t="s">
        <v>924</v>
      </c>
      <c r="C16" s="64" t="s">
        <v>925</v>
      </c>
      <c r="D16" s="64" t="s">
        <v>884</v>
      </c>
      <c r="E16" s="64" t="s">
        <v>926</v>
      </c>
      <c r="F16" s="66">
        <v>1200</v>
      </c>
      <c r="G16" s="64" t="s">
        <v>881</v>
      </c>
      <c r="H16" s="64" t="s">
        <v>927</v>
      </c>
      <c r="I16" s="157">
        <f>IF(A16="","",SUMIF($D$3:$D$16,"Inflow",$F$3:$F$16)-SUMIF($D$3:$D$16,"Outflow",$F$3:$F$16)+SUM(Bank_Accounts!$E$3:$E$22))</f>
      </c>
      <c r="J16" s="156" t="s">
        <v>688</v>
      </c>
      <c r="K16" s="64"/>
    </row>
    <row r="17" spans="1:11" x14ac:dyDescent="0.25">
      <c r="A17" s="65">
        <v>46109</v>
      </c>
      <c r="B17" s="64" t="s">
        <v>928</v>
      </c>
      <c r="C17" s="64" t="s">
        <v>883</v>
      </c>
      <c r="D17" s="64" t="s">
        <v>884</v>
      </c>
      <c r="E17" s="64" t="s">
        <v>929</v>
      </c>
      <c r="F17" s="66">
        <v>680</v>
      </c>
      <c r="G17" s="64" t="s">
        <v>881</v>
      </c>
      <c r="H17" s="64" t="s">
        <v>930</v>
      </c>
      <c r="I17" s="157">
        <f>IF(A17="","",SUMIF($D$3:$D$17,"Inflow",$F$3:$F$17)-SUMIF($D$3:$D$17,"Outflow",$F$3:$F$17)+SUM(Bank_Accounts!$E$3:$E$22))</f>
      </c>
      <c r="J17" s="156" t="s">
        <v>688</v>
      </c>
      <c r="K17" s="64"/>
    </row>
    <row r="18" spans="1:11" x14ac:dyDescent="0.25">
      <c r="A18" s="65">
        <v>46112</v>
      </c>
      <c r="B18" s="64" t="s">
        <v>931</v>
      </c>
      <c r="C18" s="64" t="s">
        <v>896</v>
      </c>
      <c r="D18" s="64" t="s">
        <v>884</v>
      </c>
      <c r="E18" s="64" t="s">
        <v>932</v>
      </c>
      <c r="F18" s="66">
        <v>29200</v>
      </c>
      <c r="G18" s="64" t="s">
        <v>898</v>
      </c>
      <c r="H18" s="64" t="s">
        <v>896</v>
      </c>
      <c r="I18" s="157">
        <f>IF(A18="","",SUMIF($D$3:$D$18,"Inflow",$F$3:$F$18)-SUMIF($D$3:$D$18,"Outflow",$F$3:$F$18)+SUM(Bank_Accounts!$E$3:$E$22))</f>
      </c>
      <c r="J18" s="156" t="s">
        <v>688</v>
      </c>
      <c r="K18" s="64"/>
    </row>
    <row r="19" spans="1:11" x14ac:dyDescent="0.25">
      <c r="A19" s="65">
        <v>46117</v>
      </c>
      <c r="B19" s="64" t="s">
        <v>933</v>
      </c>
      <c r="C19" s="64" t="s">
        <v>878</v>
      </c>
      <c r="D19" s="64" t="s">
        <v>879</v>
      </c>
      <c r="E19" s="64" t="s">
        <v>934</v>
      </c>
      <c r="F19" s="66">
        <v>4800</v>
      </c>
      <c r="G19" s="64" t="s">
        <v>881</v>
      </c>
      <c r="H19" s="64" t="s">
        <v>935</v>
      </c>
      <c r="I19" s="157">
        <f>IF(A19="","",SUMIF($D$3:$D$19,"Inflow",$F$3:$F$19)-SUMIF($D$3:$D$19,"Outflow",$F$3:$F$19)+SUM(Bank_Accounts!$E$3:$E$22))</f>
      </c>
      <c r="J19" s="156" t="s">
        <v>688</v>
      </c>
      <c r="K19" s="64"/>
    </row>
    <row r="20" spans="1:11" x14ac:dyDescent="0.25">
      <c r="A20" s="65">
        <v>46122</v>
      </c>
      <c r="B20" s="64" t="s">
        <v>936</v>
      </c>
      <c r="C20" s="64" t="s">
        <v>937</v>
      </c>
      <c r="D20" s="64" t="s">
        <v>884</v>
      </c>
      <c r="E20" s="64" t="s">
        <v>938</v>
      </c>
      <c r="F20" s="66">
        <v>85</v>
      </c>
      <c r="G20" s="64" t="s">
        <v>881</v>
      </c>
      <c r="H20" s="64" t="s">
        <v>939</v>
      </c>
      <c r="I20" s="157">
        <f>IF(A20="","",SUMIF($D$3:$D$20,"Inflow",$F$3:$F$20)-SUMIF($D$3:$D$20,"Outflow",$F$3:$F$20)+SUM(Bank_Accounts!$E$3:$E$22))</f>
      </c>
      <c r="J20" s="156" t="s">
        <v>688</v>
      </c>
      <c r="K20" s="64"/>
    </row>
    <row r="21" spans="1:11" x14ac:dyDescent="0.25">
      <c r="A21" s="65">
        <v>46127</v>
      </c>
      <c r="B21" s="64" t="s">
        <v>940</v>
      </c>
      <c r="C21" s="64" t="s">
        <v>878</v>
      </c>
      <c r="D21" s="64" t="s">
        <v>879</v>
      </c>
      <c r="E21" s="64" t="s">
        <v>941</v>
      </c>
      <c r="F21" s="66">
        <v>3600</v>
      </c>
      <c r="G21" s="64" t="s">
        <v>881</v>
      </c>
      <c r="H21" s="64" t="s">
        <v>942</v>
      </c>
      <c r="I21" s="157">
        <f>IF(A21="","",SUMIF($D$3:$D$21,"Inflow",$F$3:$F$21)-SUMIF($D$3:$D$21,"Outflow",$F$3:$F$21)+SUM(Bank_Accounts!$E$3:$E$22))</f>
      </c>
      <c r="J21" s="156" t="s">
        <v>688</v>
      </c>
      <c r="K21" s="64"/>
    </row>
    <row r="22" spans="1:11" x14ac:dyDescent="0.25">
      <c r="A22" s="65">
        <v>46130</v>
      </c>
      <c r="B22" s="64" t="s">
        <v>943</v>
      </c>
      <c r="C22" s="64" t="s">
        <v>883</v>
      </c>
      <c r="D22" s="64" t="s">
        <v>884</v>
      </c>
      <c r="E22" s="64" t="s">
        <v>944</v>
      </c>
      <c r="F22" s="66">
        <v>3200</v>
      </c>
      <c r="G22" s="64" t="s">
        <v>881</v>
      </c>
      <c r="H22" s="64" t="s">
        <v>945</v>
      </c>
      <c r="I22" s="157">
        <f>IF(A22="","",SUMIF($D$3:$D$22,"Inflow",$F$3:$F$22)-SUMIF($D$3:$D$22,"Outflow",$F$3:$F$22)+SUM(Bank_Accounts!$E$3:$E$22))</f>
      </c>
      <c r="J22" s="156" t="s">
        <v>688</v>
      </c>
      <c r="K22" s="64"/>
    </row>
    <row r="23" spans="1:11" x14ac:dyDescent="0.25">
      <c r="A23" s="65"/>
      <c r="B23" s="64"/>
      <c r="C23" s="64"/>
      <c r="D23" s="64"/>
      <c r="E23" s="64"/>
      <c r="F23" s="66"/>
      <c r="G23" s="64"/>
      <c r="H23" s="64"/>
      <c r="I23" s="157">
        <f>IF(A23="","",SUMIF($D$3:$D$23,"Inflow",$F$3:$F$23)-SUMIF($D$3:$D$23,"Outflow",$F$3:$F$23)+SUM(Bank_Accounts!$E$3:$E$22))</f>
      </c>
      <c r="J23" s="156"/>
      <c r="K23" s="64"/>
    </row>
    <row r="24" spans="1:11" x14ac:dyDescent="0.25">
      <c r="A24" s="65"/>
      <c r="B24" s="64"/>
      <c r="C24" s="64"/>
      <c r="D24" s="64"/>
      <c r="E24" s="64"/>
      <c r="F24" s="66"/>
      <c r="G24" s="64"/>
      <c r="H24" s="64"/>
      <c r="I24" s="157">
        <f>IF(A24="","",SUMIF($D$3:$D$24,"Inflow",$F$3:$F$24)-SUMIF($D$3:$D$24,"Outflow",$F$3:$F$24)+SUM(Bank_Accounts!$E$3:$E$22))</f>
      </c>
      <c r="J24" s="156"/>
      <c r="K24" s="64"/>
    </row>
    <row r="25" spans="1:11" x14ac:dyDescent="0.25">
      <c r="A25" s="65"/>
      <c r="B25" s="64"/>
      <c r="C25" s="64"/>
      <c r="D25" s="64"/>
      <c r="E25" s="64"/>
      <c r="F25" s="66"/>
      <c r="G25" s="64"/>
      <c r="H25" s="64"/>
      <c r="I25" s="157">
        <f>IF(A25="","",SUMIF($D$3:$D$25,"Inflow",$F$3:$F$25)-SUMIF($D$3:$D$25,"Outflow",$F$3:$F$25)+SUM(Bank_Accounts!$E$3:$E$22))</f>
      </c>
      <c r="J25" s="156"/>
      <c r="K25" s="64"/>
    </row>
    <row r="26" spans="1:11" x14ac:dyDescent="0.25">
      <c r="A26" s="65"/>
      <c r="B26" s="64"/>
      <c r="C26" s="64"/>
      <c r="D26" s="64"/>
      <c r="E26" s="64"/>
      <c r="F26" s="66"/>
      <c r="G26" s="64"/>
      <c r="H26" s="64"/>
      <c r="I26" s="157">
        <f>IF(A26="","",SUMIF($D$3:$D$26,"Inflow",$F$3:$F$26)-SUMIF($D$3:$D$26,"Outflow",$F$3:$F$26)+SUM(Bank_Accounts!$E$3:$E$22))</f>
      </c>
      <c r="J26" s="156"/>
      <c r="K26" s="64"/>
    </row>
    <row r="27" spans="1:11" x14ac:dyDescent="0.25">
      <c r="A27" s="65"/>
      <c r="B27" s="64"/>
      <c r="C27" s="64"/>
      <c r="D27" s="64"/>
      <c r="E27" s="64"/>
      <c r="F27" s="66"/>
      <c r="G27" s="64"/>
      <c r="H27" s="64"/>
      <c r="I27" s="157">
        <f>IF(A27="","",SUMIF($D$3:$D$27,"Inflow",$F$3:$F$27)-SUMIF($D$3:$D$27,"Outflow",$F$3:$F$27)+SUM(Bank_Accounts!$E$3:$E$22))</f>
      </c>
      <c r="J27" s="156"/>
      <c r="K27" s="64"/>
    </row>
    <row r="28" spans="1:11" x14ac:dyDescent="0.25">
      <c r="A28" s="65"/>
      <c r="B28" s="64"/>
      <c r="C28" s="64"/>
      <c r="D28" s="64"/>
      <c r="E28" s="64"/>
      <c r="F28" s="66"/>
      <c r="G28" s="64"/>
      <c r="H28" s="64"/>
      <c r="I28" s="157">
        <f>IF(A28="","",SUMIF($D$3:$D$28,"Inflow",$F$3:$F$28)-SUMIF($D$3:$D$28,"Outflow",$F$3:$F$28)+SUM(Bank_Accounts!$E$3:$E$22))</f>
      </c>
      <c r="J28" s="156"/>
      <c r="K28" s="64"/>
    </row>
    <row r="29" spans="1:11" x14ac:dyDescent="0.25">
      <c r="A29" s="65"/>
      <c r="B29" s="64"/>
      <c r="C29" s="64"/>
      <c r="D29" s="64"/>
      <c r="E29" s="64"/>
      <c r="F29" s="66"/>
      <c r="G29" s="64"/>
      <c r="H29" s="64"/>
      <c r="I29" s="157">
        <f>IF(A29="","",SUMIF($D$3:$D$29,"Inflow",$F$3:$F$29)-SUMIF($D$3:$D$29,"Outflow",$F$3:$F$29)+SUM(Bank_Accounts!$E$3:$E$22))</f>
      </c>
      <c r="J29" s="156"/>
      <c r="K29" s="64"/>
    </row>
    <row r="30" spans="1:11" x14ac:dyDescent="0.25">
      <c r="A30" s="65"/>
      <c r="B30" s="64"/>
      <c r="C30" s="64"/>
      <c r="D30" s="64"/>
      <c r="E30" s="64"/>
      <c r="F30" s="66"/>
      <c r="G30" s="64"/>
      <c r="H30" s="64"/>
      <c r="I30" s="157">
        <f>IF(A30="","",SUMIF($D$3:$D$30,"Inflow",$F$3:$F$30)-SUMIF($D$3:$D$30,"Outflow",$F$3:$F$30)+SUM(Bank_Accounts!$E$3:$E$22))</f>
      </c>
      <c r="J30" s="156"/>
      <c r="K30" s="64"/>
    </row>
    <row r="31" spans="1:11" x14ac:dyDescent="0.25">
      <c r="A31" s="65"/>
      <c r="B31" s="64"/>
      <c r="C31" s="64"/>
      <c r="D31" s="64"/>
      <c r="E31" s="64"/>
      <c r="F31" s="66"/>
      <c r="G31" s="64"/>
      <c r="H31" s="64"/>
      <c r="I31" s="157">
        <f>IF(A31="","",SUMIF($D$3:$D$31,"Inflow",$F$3:$F$31)-SUMIF($D$3:$D$31,"Outflow",$F$3:$F$31)+SUM(Bank_Accounts!$E$3:$E$22))</f>
      </c>
      <c r="J31" s="156"/>
      <c r="K31" s="64"/>
    </row>
    <row r="32" spans="1:11" x14ac:dyDescent="0.25">
      <c r="A32" s="65"/>
      <c r="B32" s="64"/>
      <c r="C32" s="64"/>
      <c r="D32" s="64"/>
      <c r="E32" s="64"/>
      <c r="F32" s="66"/>
      <c r="G32" s="64"/>
      <c r="H32" s="64"/>
      <c r="I32" s="157">
        <f>IF(A32="","",SUMIF($D$3:$D$32,"Inflow",$F$3:$F$32)-SUMIF($D$3:$D$32,"Outflow",$F$3:$F$32)+SUM(Bank_Accounts!$E$3:$E$22))</f>
      </c>
      <c r="J32" s="156"/>
      <c r="K32" s="64"/>
    </row>
    <row r="33" spans="1:11" x14ac:dyDescent="0.25">
      <c r="A33" s="65"/>
      <c r="B33" s="64"/>
      <c r="C33" s="64"/>
      <c r="D33" s="64"/>
      <c r="E33" s="64"/>
      <c r="F33" s="66"/>
      <c r="G33" s="64"/>
      <c r="H33" s="64"/>
      <c r="I33" s="157">
        <f>IF(A33="","",SUMIF($D$3:$D$33,"Inflow",$F$3:$F$33)-SUMIF($D$3:$D$33,"Outflow",$F$3:$F$33)+SUM(Bank_Accounts!$E$3:$E$22))</f>
      </c>
      <c r="J33" s="156"/>
      <c r="K33" s="64"/>
    </row>
    <row r="34" spans="1:11" x14ac:dyDescent="0.25">
      <c r="A34" s="65"/>
      <c r="B34" s="64"/>
      <c r="C34" s="64"/>
      <c r="D34" s="64"/>
      <c r="E34" s="64"/>
      <c r="F34" s="66"/>
      <c r="G34" s="64"/>
      <c r="H34" s="64"/>
      <c r="I34" s="157">
        <f>IF(A34="","",SUMIF($D$3:$D$34,"Inflow",$F$3:$F$34)-SUMIF($D$3:$D$34,"Outflow",$F$3:$F$34)+SUM(Bank_Accounts!$E$3:$E$22))</f>
      </c>
      <c r="J34" s="156"/>
      <c r="K34" s="64"/>
    </row>
    <row r="35" spans="1:11" x14ac:dyDescent="0.25">
      <c r="A35" s="65"/>
      <c r="B35" s="64"/>
      <c r="C35" s="64"/>
      <c r="D35" s="64"/>
      <c r="E35" s="64"/>
      <c r="F35" s="66"/>
      <c r="G35" s="64"/>
      <c r="H35" s="64"/>
      <c r="I35" s="157">
        <f>IF(A35="","",SUMIF($D$3:$D$35,"Inflow",$F$3:$F$35)-SUMIF($D$3:$D$35,"Outflow",$F$3:$F$35)+SUM(Bank_Accounts!$E$3:$E$22))</f>
      </c>
      <c r="J35" s="156"/>
      <c r="K35" s="64"/>
    </row>
    <row r="36" spans="1:11" x14ac:dyDescent="0.25">
      <c r="A36" s="65"/>
      <c r="B36" s="64"/>
      <c r="C36" s="64"/>
      <c r="D36" s="64"/>
      <c r="E36" s="64"/>
      <c r="F36" s="66"/>
      <c r="G36" s="64"/>
      <c r="H36" s="64"/>
      <c r="I36" s="157">
        <f>IF(A36="","",SUMIF($D$3:$D$36,"Inflow",$F$3:$F$36)-SUMIF($D$3:$D$36,"Outflow",$F$3:$F$36)+SUM(Bank_Accounts!$E$3:$E$22))</f>
      </c>
      <c r="J36" s="156"/>
      <c r="K36" s="64"/>
    </row>
    <row r="37" spans="1:11" x14ac:dyDescent="0.25">
      <c r="A37" s="65"/>
      <c r="B37" s="64"/>
      <c r="C37" s="64"/>
      <c r="D37" s="64"/>
      <c r="E37" s="64"/>
      <c r="F37" s="66"/>
      <c r="G37" s="64"/>
      <c r="H37" s="64"/>
      <c r="I37" s="157">
        <f>IF(A37="","",SUMIF($D$3:$D$37,"Inflow",$F$3:$F$37)-SUMIF($D$3:$D$37,"Outflow",$F$3:$F$37)+SUM(Bank_Accounts!$E$3:$E$22))</f>
      </c>
      <c r="J37" s="156"/>
      <c r="K37" s="64"/>
    </row>
    <row r="38" spans="1:11" x14ac:dyDescent="0.25">
      <c r="A38" s="65"/>
      <c r="B38" s="64"/>
      <c r="C38" s="64"/>
      <c r="D38" s="64"/>
      <c r="E38" s="64"/>
      <c r="F38" s="66"/>
      <c r="G38" s="64"/>
      <c r="H38" s="64"/>
      <c r="I38" s="157">
        <f>IF(A38="","",SUMIF($D$3:$D$38,"Inflow",$F$3:$F$38)-SUMIF($D$3:$D$38,"Outflow",$F$3:$F$38)+SUM(Bank_Accounts!$E$3:$E$22))</f>
      </c>
      <c r="J38" s="156"/>
      <c r="K38" s="64"/>
    </row>
    <row r="39" spans="1:11" x14ac:dyDescent="0.25">
      <c r="A39" s="65"/>
      <c r="B39" s="64"/>
      <c r="C39" s="64"/>
      <c r="D39" s="64"/>
      <c r="E39" s="64"/>
      <c r="F39" s="66"/>
      <c r="G39" s="64"/>
      <c r="H39" s="64"/>
      <c r="I39" s="157">
        <f>IF(A39="","",SUMIF($D$3:$D$39,"Inflow",$F$3:$F$39)-SUMIF($D$3:$D$39,"Outflow",$F$3:$F$39)+SUM(Bank_Accounts!$E$3:$E$22))</f>
      </c>
      <c r="J39" s="156"/>
      <c r="K39" s="64"/>
    </row>
    <row r="40" spans="1:11" x14ac:dyDescent="0.25">
      <c r="A40" s="65"/>
      <c r="B40" s="64"/>
      <c r="C40" s="64"/>
      <c r="D40" s="64"/>
      <c r="E40" s="64"/>
      <c r="F40" s="66"/>
      <c r="G40" s="64"/>
      <c r="H40" s="64"/>
      <c r="I40" s="157">
        <f>IF(A40="","",SUMIF($D$3:$D$40,"Inflow",$F$3:$F$40)-SUMIF($D$3:$D$40,"Outflow",$F$3:$F$40)+SUM(Bank_Accounts!$E$3:$E$22))</f>
      </c>
      <c r="J40" s="156"/>
      <c r="K40" s="64"/>
    </row>
    <row r="41" spans="1:11" x14ac:dyDescent="0.25">
      <c r="A41" s="65"/>
      <c r="B41" s="64"/>
      <c r="C41" s="64"/>
      <c r="D41" s="64"/>
      <c r="E41" s="64"/>
      <c r="F41" s="66"/>
      <c r="G41" s="64"/>
      <c r="H41" s="64"/>
      <c r="I41" s="157">
        <f>IF(A41="","",SUMIF($D$3:$D$41,"Inflow",$F$3:$F$41)-SUMIF($D$3:$D$41,"Outflow",$F$3:$F$41)+SUM(Bank_Accounts!$E$3:$E$22))</f>
      </c>
      <c r="J41" s="156"/>
      <c r="K41" s="64"/>
    </row>
    <row r="42" spans="1:11" x14ac:dyDescent="0.25">
      <c r="A42" s="65"/>
      <c r="B42" s="64"/>
      <c r="C42" s="64"/>
      <c r="D42" s="64"/>
      <c r="E42" s="64"/>
      <c r="F42" s="66"/>
      <c r="G42" s="64"/>
      <c r="H42" s="64"/>
      <c r="I42" s="157">
        <f>IF(A42="","",SUMIF($D$3:$D$42,"Inflow",$F$3:$F$42)-SUMIF($D$3:$D$42,"Outflow",$F$3:$F$42)+SUM(Bank_Accounts!$E$3:$E$22))</f>
      </c>
      <c r="J42" s="156"/>
      <c r="K42" s="64"/>
    </row>
    <row r="43" spans="1:11" x14ac:dyDescent="0.25">
      <c r="A43" s="65"/>
      <c r="B43" s="64"/>
      <c r="C43" s="64"/>
      <c r="D43" s="64"/>
      <c r="E43" s="64"/>
      <c r="F43" s="66"/>
      <c r="G43" s="64"/>
      <c r="H43" s="64"/>
      <c r="I43" s="157">
        <f>IF(A43="","",SUMIF($D$3:$D$43,"Inflow",$F$3:$F$43)-SUMIF($D$3:$D$43,"Outflow",$F$3:$F$43)+SUM(Bank_Accounts!$E$3:$E$22))</f>
      </c>
      <c r="J43" s="156"/>
      <c r="K43" s="64"/>
    </row>
    <row r="44" spans="1:11" x14ac:dyDescent="0.25">
      <c r="A44" s="65"/>
      <c r="B44" s="64"/>
      <c r="C44" s="64"/>
      <c r="D44" s="64"/>
      <c r="E44" s="64"/>
      <c r="F44" s="66"/>
      <c r="G44" s="64"/>
      <c r="H44" s="64"/>
      <c r="I44" s="157">
        <f>IF(A44="","",SUMIF($D$3:$D$44,"Inflow",$F$3:$F$44)-SUMIF($D$3:$D$44,"Outflow",$F$3:$F$44)+SUM(Bank_Accounts!$E$3:$E$22))</f>
      </c>
      <c r="J44" s="156"/>
      <c r="K44" s="64"/>
    </row>
    <row r="45" spans="1:11" x14ac:dyDescent="0.25">
      <c r="A45" s="65"/>
      <c r="B45" s="64"/>
      <c r="C45" s="64"/>
      <c r="D45" s="64"/>
      <c r="E45" s="64"/>
      <c r="F45" s="66"/>
      <c r="G45" s="64"/>
      <c r="H45" s="64"/>
      <c r="I45" s="157">
        <f>IF(A45="","",SUMIF($D$3:$D$45,"Inflow",$F$3:$F$45)-SUMIF($D$3:$D$45,"Outflow",$F$3:$F$45)+SUM(Bank_Accounts!$E$3:$E$22))</f>
      </c>
      <c r="J45" s="156"/>
      <c r="K45" s="64"/>
    </row>
    <row r="46" spans="1:11" x14ac:dyDescent="0.25">
      <c r="A46" s="65"/>
      <c r="B46" s="64"/>
      <c r="C46" s="64"/>
      <c r="D46" s="64"/>
      <c r="E46" s="64"/>
      <c r="F46" s="66"/>
      <c r="G46" s="64"/>
      <c r="H46" s="64"/>
      <c r="I46" s="157">
        <f>IF(A46="","",SUMIF($D$3:$D$46,"Inflow",$F$3:$F$46)-SUMIF($D$3:$D$46,"Outflow",$F$3:$F$46)+SUM(Bank_Accounts!$E$3:$E$22))</f>
      </c>
      <c r="J46" s="156"/>
      <c r="K46" s="64"/>
    </row>
    <row r="47" spans="1:11" x14ac:dyDescent="0.25">
      <c r="A47" s="65"/>
      <c r="B47" s="64"/>
      <c r="C47" s="64"/>
      <c r="D47" s="64"/>
      <c r="E47" s="64"/>
      <c r="F47" s="66"/>
      <c r="G47" s="64"/>
      <c r="H47" s="64"/>
      <c r="I47" s="157">
        <f>IF(A47="","",SUMIF($D$3:$D$47,"Inflow",$F$3:$F$47)-SUMIF($D$3:$D$47,"Outflow",$F$3:$F$47)+SUM(Bank_Accounts!$E$3:$E$22))</f>
      </c>
      <c r="J47" s="156"/>
      <c r="K47" s="64"/>
    </row>
    <row r="48" spans="1:11" x14ac:dyDescent="0.25">
      <c r="A48" s="65"/>
      <c r="B48" s="64"/>
      <c r="C48" s="64"/>
      <c r="D48" s="64"/>
      <c r="E48" s="64"/>
      <c r="F48" s="66"/>
      <c r="G48" s="64"/>
      <c r="H48" s="64"/>
      <c r="I48" s="157">
        <f>IF(A48="","",SUMIF($D$3:$D$48,"Inflow",$F$3:$F$48)-SUMIF($D$3:$D$48,"Outflow",$F$3:$F$48)+SUM(Bank_Accounts!$E$3:$E$22))</f>
      </c>
      <c r="J48" s="156"/>
      <c r="K48" s="64"/>
    </row>
    <row r="49" spans="1:11" x14ac:dyDescent="0.25">
      <c r="A49" s="65"/>
      <c r="B49" s="64"/>
      <c r="C49" s="64"/>
      <c r="D49" s="64"/>
      <c r="E49" s="64"/>
      <c r="F49" s="66"/>
      <c r="G49" s="64"/>
      <c r="H49" s="64"/>
      <c r="I49" s="157">
        <f>IF(A49="","",SUMIF($D$3:$D$49,"Inflow",$F$3:$F$49)-SUMIF($D$3:$D$49,"Outflow",$F$3:$F$49)+SUM(Bank_Accounts!$E$3:$E$22))</f>
      </c>
      <c r="J49" s="156"/>
      <c r="K49" s="64"/>
    </row>
    <row r="50" spans="1:11" x14ac:dyDescent="0.25">
      <c r="A50" s="65"/>
      <c r="B50" s="64"/>
      <c r="C50" s="64"/>
      <c r="D50" s="64"/>
      <c r="E50" s="64"/>
      <c r="F50" s="66"/>
      <c r="G50" s="64"/>
      <c r="H50" s="64"/>
      <c r="I50" s="157">
        <f>IF(A50="","",SUMIF($D$3:$D$50,"Inflow",$F$3:$F$50)-SUMIF($D$3:$D$50,"Outflow",$F$3:$F$50)+SUM(Bank_Accounts!$E$3:$E$22))</f>
      </c>
      <c r="J50" s="156"/>
      <c r="K50" s="64"/>
    </row>
    <row r="51" spans="1:11" x14ac:dyDescent="0.25">
      <c r="A51" s="65"/>
      <c r="B51" s="64"/>
      <c r="C51" s="64"/>
      <c r="D51" s="64"/>
      <c r="E51" s="64"/>
      <c r="F51" s="66"/>
      <c r="G51" s="64"/>
      <c r="H51" s="64"/>
      <c r="I51" s="157">
        <f>IF(A51="","",SUMIF($D$3:$D$51,"Inflow",$F$3:$F$51)-SUMIF($D$3:$D$51,"Outflow",$F$3:$F$51)+SUM(Bank_Accounts!$E$3:$E$22))</f>
      </c>
      <c r="J51" s="156"/>
      <c r="K51" s="64"/>
    </row>
    <row r="52" spans="1:11" x14ac:dyDescent="0.25">
      <c r="A52" s="65"/>
      <c r="B52" s="64"/>
      <c r="C52" s="64"/>
      <c r="D52" s="64"/>
      <c r="E52" s="64"/>
      <c r="F52" s="66"/>
      <c r="G52" s="64"/>
      <c r="H52" s="64"/>
      <c r="I52" s="157">
        <f>IF(A52="","",SUMIF($D$3:$D$52,"Inflow",$F$3:$F$52)-SUMIF($D$3:$D$52,"Outflow",$F$3:$F$52)+SUM(Bank_Accounts!$E$3:$E$22))</f>
      </c>
      <c r="J52" s="156"/>
      <c r="K52" s="64"/>
    </row>
    <row r="53" spans="1:11" x14ac:dyDescent="0.25">
      <c r="A53" s="65"/>
      <c r="B53" s="64"/>
      <c r="C53" s="64"/>
      <c r="D53" s="64"/>
      <c r="E53" s="64"/>
      <c r="F53" s="66"/>
      <c r="G53" s="64"/>
      <c r="H53" s="64"/>
      <c r="I53" s="157">
        <f>IF(A53="","",SUMIF($D$3:$D$53,"Inflow",$F$3:$F$53)-SUMIF($D$3:$D$53,"Outflow",$F$3:$F$53)+SUM(Bank_Accounts!$E$3:$E$22))</f>
      </c>
      <c r="J53" s="156"/>
      <c r="K53" s="64"/>
    </row>
    <row r="54" spans="1:11" x14ac:dyDescent="0.25">
      <c r="A54" s="65"/>
      <c r="B54" s="64"/>
      <c r="C54" s="64"/>
      <c r="D54" s="64"/>
      <c r="E54" s="64"/>
      <c r="F54" s="66"/>
      <c r="G54" s="64"/>
      <c r="H54" s="64"/>
      <c r="I54" s="157">
        <f>IF(A54="","",SUMIF($D$3:$D$54,"Inflow",$F$3:$F$54)-SUMIF($D$3:$D$54,"Outflow",$F$3:$F$54)+SUM(Bank_Accounts!$E$3:$E$22))</f>
      </c>
      <c r="J54" s="156"/>
      <c r="K54" s="64"/>
    </row>
    <row r="55" spans="1:11" x14ac:dyDescent="0.25">
      <c r="A55" s="65"/>
      <c r="B55" s="64"/>
      <c r="C55" s="64"/>
      <c r="D55" s="64"/>
      <c r="E55" s="64"/>
      <c r="F55" s="66"/>
      <c r="G55" s="64"/>
      <c r="H55" s="64"/>
      <c r="I55" s="157">
        <f>IF(A55="","",SUMIF($D$3:$D$55,"Inflow",$F$3:$F$55)-SUMIF($D$3:$D$55,"Outflow",$F$3:$F$55)+SUM(Bank_Accounts!$E$3:$E$22))</f>
      </c>
      <c r="J55" s="156"/>
      <c r="K55" s="64"/>
    </row>
    <row r="56" spans="1:11" x14ac:dyDescent="0.25">
      <c r="A56" s="65"/>
      <c r="B56" s="64"/>
      <c r="C56" s="64"/>
      <c r="D56" s="64"/>
      <c r="E56" s="64"/>
      <c r="F56" s="66"/>
      <c r="G56" s="64"/>
      <c r="H56" s="64"/>
      <c r="I56" s="157">
        <f>IF(A56="","",SUMIF($D$3:$D$56,"Inflow",$F$3:$F$56)-SUMIF($D$3:$D$56,"Outflow",$F$3:$F$56)+SUM(Bank_Accounts!$E$3:$E$22))</f>
      </c>
      <c r="J56" s="156"/>
      <c r="K56" s="64"/>
    </row>
    <row r="57" spans="1:11" x14ac:dyDescent="0.25">
      <c r="A57" s="65"/>
      <c r="B57" s="64"/>
      <c r="C57" s="64"/>
      <c r="D57" s="64"/>
      <c r="E57" s="64"/>
      <c r="F57" s="66"/>
      <c r="G57" s="64"/>
      <c r="H57" s="64"/>
      <c r="I57" s="157">
        <f>IF(A57="","",SUMIF($D$3:$D$57,"Inflow",$F$3:$F$57)-SUMIF($D$3:$D$57,"Outflow",$F$3:$F$57)+SUM(Bank_Accounts!$E$3:$E$22))</f>
      </c>
      <c r="J57" s="156"/>
      <c r="K57" s="64"/>
    </row>
    <row r="58" spans="1:11" x14ac:dyDescent="0.25">
      <c r="A58" s="65"/>
      <c r="B58" s="64"/>
      <c r="C58" s="64"/>
      <c r="D58" s="64"/>
      <c r="E58" s="64"/>
      <c r="F58" s="66"/>
      <c r="G58" s="64"/>
      <c r="H58" s="64"/>
      <c r="I58" s="157">
        <f>IF(A58="","",SUMIF($D$3:$D$58,"Inflow",$F$3:$F$58)-SUMIF($D$3:$D$58,"Outflow",$F$3:$F$58)+SUM(Bank_Accounts!$E$3:$E$22))</f>
      </c>
      <c r="J58" s="156"/>
      <c r="K58" s="64"/>
    </row>
    <row r="59" spans="1:11" x14ac:dyDescent="0.25">
      <c r="A59" s="65"/>
      <c r="B59" s="64"/>
      <c r="C59" s="64"/>
      <c r="D59" s="64"/>
      <c r="E59" s="64"/>
      <c r="F59" s="66"/>
      <c r="G59" s="64"/>
      <c r="H59" s="64"/>
      <c r="I59" s="157">
        <f>IF(A59="","",SUMIF($D$3:$D$59,"Inflow",$F$3:$F$59)-SUMIF($D$3:$D$59,"Outflow",$F$3:$F$59)+SUM(Bank_Accounts!$E$3:$E$22))</f>
      </c>
      <c r="J59" s="156"/>
      <c r="K59" s="64"/>
    </row>
    <row r="60" spans="1:11" x14ac:dyDescent="0.25">
      <c r="A60" s="65"/>
      <c r="B60" s="64"/>
      <c r="C60" s="64"/>
      <c r="D60" s="64"/>
      <c r="E60" s="64"/>
      <c r="F60" s="66"/>
      <c r="G60" s="64"/>
      <c r="H60" s="64"/>
      <c r="I60" s="157">
        <f>IF(A60="","",SUMIF($D$3:$D$60,"Inflow",$F$3:$F$60)-SUMIF($D$3:$D$60,"Outflow",$F$3:$F$60)+SUM(Bank_Accounts!$E$3:$E$22))</f>
      </c>
      <c r="J60" s="156"/>
      <c r="K60" s="64"/>
    </row>
    <row r="61" spans="1:11" x14ac:dyDescent="0.25">
      <c r="A61" s="65"/>
      <c r="B61" s="64"/>
      <c r="C61" s="64"/>
      <c r="D61" s="64"/>
      <c r="E61" s="64"/>
      <c r="F61" s="66"/>
      <c r="G61" s="64"/>
      <c r="H61" s="64"/>
      <c r="I61" s="157">
        <f>IF(A61="","",SUMIF($D$3:$D$61,"Inflow",$F$3:$F$61)-SUMIF($D$3:$D$61,"Outflow",$F$3:$F$61)+SUM(Bank_Accounts!$E$3:$E$22))</f>
      </c>
      <c r="J61" s="156"/>
      <c r="K61" s="64"/>
    </row>
    <row r="62" spans="1:11" x14ac:dyDescent="0.25">
      <c r="A62" s="65"/>
      <c r="B62" s="64"/>
      <c r="C62" s="64"/>
      <c r="D62" s="64"/>
      <c r="E62" s="64"/>
      <c r="F62" s="66"/>
      <c r="G62" s="64"/>
      <c r="H62" s="64"/>
      <c r="I62" s="157">
        <f>IF(A62="","",SUMIF($D$3:$D$62,"Inflow",$F$3:$F$62)-SUMIF($D$3:$D$62,"Outflow",$F$3:$F$62)+SUM(Bank_Accounts!$E$3:$E$22))</f>
      </c>
      <c r="J62" s="156"/>
      <c r="K62" s="64"/>
    </row>
    <row r="63" spans="1:11" x14ac:dyDescent="0.25">
      <c r="A63" s="65"/>
      <c r="B63" s="64"/>
      <c r="C63" s="64"/>
      <c r="D63" s="64"/>
      <c r="E63" s="64"/>
      <c r="F63" s="66"/>
      <c r="G63" s="64"/>
      <c r="H63" s="64"/>
      <c r="I63" s="157">
        <f>IF(A63="","",SUMIF($D$3:$D$63,"Inflow",$F$3:$F$63)-SUMIF($D$3:$D$63,"Outflow",$F$3:$F$63)+SUM(Bank_Accounts!$E$3:$E$22))</f>
      </c>
      <c r="J63" s="156"/>
      <c r="K63" s="64"/>
    </row>
    <row r="64" spans="1:11" x14ac:dyDescent="0.25">
      <c r="A64" s="65"/>
      <c r="B64" s="64"/>
      <c r="C64" s="64"/>
      <c r="D64" s="64"/>
      <c r="E64" s="64"/>
      <c r="F64" s="66"/>
      <c r="G64" s="64"/>
      <c r="H64" s="64"/>
      <c r="I64" s="157">
        <f>IF(A64="","",SUMIF($D$3:$D$64,"Inflow",$F$3:$F$64)-SUMIF($D$3:$D$64,"Outflow",$F$3:$F$64)+SUM(Bank_Accounts!$E$3:$E$22))</f>
      </c>
      <c r="J64" s="156"/>
      <c r="K64" s="64"/>
    </row>
    <row r="65" spans="1:11" x14ac:dyDescent="0.25">
      <c r="A65" s="65"/>
      <c r="B65" s="64"/>
      <c r="C65" s="64"/>
      <c r="D65" s="64"/>
      <c r="E65" s="64"/>
      <c r="F65" s="66"/>
      <c r="G65" s="64"/>
      <c r="H65" s="64"/>
      <c r="I65" s="157">
        <f>IF(A65="","",SUMIF($D$3:$D$65,"Inflow",$F$3:$F$65)-SUMIF($D$3:$D$65,"Outflow",$F$3:$F$65)+SUM(Bank_Accounts!$E$3:$E$22))</f>
      </c>
      <c r="J65" s="156"/>
      <c r="K65" s="64"/>
    </row>
    <row r="66" spans="1:11" x14ac:dyDescent="0.25">
      <c r="A66" s="65"/>
      <c r="B66" s="64"/>
      <c r="C66" s="64"/>
      <c r="D66" s="64"/>
      <c r="E66" s="64"/>
      <c r="F66" s="66"/>
      <c r="G66" s="64"/>
      <c r="H66" s="64"/>
      <c r="I66" s="157">
        <f>IF(A66="","",SUMIF($D$3:$D$66,"Inflow",$F$3:$F$66)-SUMIF($D$3:$D$66,"Outflow",$F$3:$F$66)+SUM(Bank_Accounts!$E$3:$E$22))</f>
      </c>
      <c r="J66" s="156"/>
      <c r="K66" s="64"/>
    </row>
    <row r="67" spans="1:11" x14ac:dyDescent="0.25">
      <c r="A67" s="65"/>
      <c r="B67" s="64"/>
      <c r="C67" s="64"/>
      <c r="D67" s="64"/>
      <c r="E67" s="64"/>
      <c r="F67" s="66"/>
      <c r="G67" s="64"/>
      <c r="H67" s="64"/>
      <c r="I67" s="157">
        <f>IF(A67="","",SUMIF($D$3:$D$67,"Inflow",$F$3:$F$67)-SUMIF($D$3:$D$67,"Outflow",$F$3:$F$67)+SUM(Bank_Accounts!$E$3:$E$22))</f>
      </c>
      <c r="J67" s="156"/>
      <c r="K67" s="64"/>
    </row>
    <row r="68" spans="1:11" x14ac:dyDescent="0.25">
      <c r="A68" s="65"/>
      <c r="B68" s="64"/>
      <c r="C68" s="64"/>
      <c r="D68" s="64"/>
      <c r="E68" s="64"/>
      <c r="F68" s="66"/>
      <c r="G68" s="64"/>
      <c r="H68" s="64"/>
      <c r="I68" s="157">
        <f>IF(A68="","",SUMIF($D$3:$D$68,"Inflow",$F$3:$F$68)-SUMIF($D$3:$D$68,"Outflow",$F$3:$F$68)+SUM(Bank_Accounts!$E$3:$E$22))</f>
      </c>
      <c r="J68" s="156"/>
      <c r="K68" s="64"/>
    </row>
    <row r="69" spans="1:11" x14ac:dyDescent="0.25">
      <c r="A69" s="65"/>
      <c r="B69" s="64"/>
      <c r="C69" s="64"/>
      <c r="D69" s="64"/>
      <c r="E69" s="64"/>
      <c r="F69" s="66"/>
      <c r="G69" s="64"/>
      <c r="H69" s="64"/>
      <c r="I69" s="157">
        <f>IF(A69="","",SUMIF($D$3:$D$69,"Inflow",$F$3:$F$69)-SUMIF($D$3:$D$69,"Outflow",$F$3:$F$69)+SUM(Bank_Accounts!$E$3:$E$22))</f>
      </c>
      <c r="J69" s="156"/>
      <c r="K69" s="64"/>
    </row>
    <row r="70" spans="1:11" x14ac:dyDescent="0.25">
      <c r="A70" s="65"/>
      <c r="B70" s="64"/>
      <c r="C70" s="64"/>
      <c r="D70" s="64"/>
      <c r="E70" s="64"/>
      <c r="F70" s="66"/>
      <c r="G70" s="64"/>
      <c r="H70" s="64"/>
      <c r="I70" s="157">
        <f>IF(A70="","",SUMIF($D$3:$D$70,"Inflow",$F$3:$F$70)-SUMIF($D$3:$D$70,"Outflow",$F$3:$F$70)+SUM(Bank_Accounts!$E$3:$E$22))</f>
      </c>
      <c r="J70" s="156"/>
      <c r="K70" s="64"/>
    </row>
    <row r="71" spans="1:11" x14ac:dyDescent="0.25">
      <c r="A71" s="65"/>
      <c r="B71" s="64"/>
      <c r="C71" s="64"/>
      <c r="D71" s="64"/>
      <c r="E71" s="64"/>
      <c r="F71" s="66"/>
      <c r="G71" s="64"/>
      <c r="H71" s="64"/>
      <c r="I71" s="157">
        <f>IF(A71="","",SUMIF($D$3:$D$71,"Inflow",$F$3:$F$71)-SUMIF($D$3:$D$71,"Outflow",$F$3:$F$71)+SUM(Bank_Accounts!$E$3:$E$22))</f>
      </c>
      <c r="J71" s="156"/>
      <c r="K71" s="64"/>
    </row>
    <row r="72" spans="1:11" x14ac:dyDescent="0.25">
      <c r="A72" s="65"/>
      <c r="B72" s="64"/>
      <c r="C72" s="64"/>
      <c r="D72" s="64"/>
      <c r="E72" s="64"/>
      <c r="F72" s="66"/>
      <c r="G72" s="64"/>
      <c r="H72" s="64"/>
      <c r="I72" s="157">
        <f>IF(A72="","",SUMIF($D$3:$D$72,"Inflow",$F$3:$F$72)-SUMIF($D$3:$D$72,"Outflow",$F$3:$F$72)+SUM(Bank_Accounts!$E$3:$E$22))</f>
      </c>
      <c r="J72" s="156"/>
      <c r="K72" s="64"/>
    </row>
    <row r="73" spans="1:11" x14ac:dyDescent="0.25">
      <c r="A73" s="65"/>
      <c r="B73" s="64"/>
      <c r="C73" s="64"/>
      <c r="D73" s="64"/>
      <c r="E73" s="64"/>
      <c r="F73" s="66"/>
      <c r="G73" s="64"/>
      <c r="H73" s="64"/>
      <c r="I73" s="157">
        <f>IF(A73="","",SUMIF($D$3:$D$73,"Inflow",$F$3:$F$73)-SUMIF($D$3:$D$73,"Outflow",$F$3:$F$73)+SUM(Bank_Accounts!$E$3:$E$22))</f>
      </c>
      <c r="J73" s="156"/>
      <c r="K73" s="64"/>
    </row>
    <row r="74" spans="1:11" x14ac:dyDescent="0.25">
      <c r="A74" s="65"/>
      <c r="B74" s="64"/>
      <c r="C74" s="64"/>
      <c r="D74" s="64"/>
      <c r="E74" s="64"/>
      <c r="F74" s="66"/>
      <c r="G74" s="64"/>
      <c r="H74" s="64"/>
      <c r="I74" s="157">
        <f>IF(A74="","",SUMIF($D$3:$D$74,"Inflow",$F$3:$F$74)-SUMIF($D$3:$D$74,"Outflow",$F$3:$F$74)+SUM(Bank_Accounts!$E$3:$E$22))</f>
      </c>
      <c r="J74" s="156"/>
      <c r="K74" s="64"/>
    </row>
    <row r="75" spans="1:11" x14ac:dyDescent="0.25">
      <c r="A75" s="65"/>
      <c r="B75" s="64"/>
      <c r="C75" s="64"/>
      <c r="D75" s="64"/>
      <c r="E75" s="64"/>
      <c r="F75" s="66"/>
      <c r="G75" s="64"/>
      <c r="H75" s="64"/>
      <c r="I75" s="157">
        <f>IF(A75="","",SUMIF($D$3:$D$75,"Inflow",$F$3:$F$75)-SUMIF($D$3:$D$75,"Outflow",$F$3:$F$75)+SUM(Bank_Accounts!$E$3:$E$22))</f>
      </c>
      <c r="J75" s="156"/>
      <c r="K75" s="64"/>
    </row>
    <row r="76" spans="1:11" x14ac:dyDescent="0.25">
      <c r="A76" s="65"/>
      <c r="B76" s="64"/>
      <c r="C76" s="64"/>
      <c r="D76" s="64"/>
      <c r="E76" s="64"/>
      <c r="F76" s="66"/>
      <c r="G76" s="64"/>
      <c r="H76" s="64"/>
      <c r="I76" s="157">
        <f>IF(A76="","",SUMIF($D$3:$D$76,"Inflow",$F$3:$F$76)-SUMIF($D$3:$D$76,"Outflow",$F$3:$F$76)+SUM(Bank_Accounts!$E$3:$E$22))</f>
      </c>
      <c r="J76" s="156"/>
      <c r="K76" s="64"/>
    </row>
    <row r="77" spans="1:11" x14ac:dyDescent="0.25">
      <c r="A77" s="65"/>
      <c r="B77" s="64"/>
      <c r="C77" s="64"/>
      <c r="D77" s="64"/>
      <c r="E77" s="64"/>
      <c r="F77" s="66"/>
      <c r="G77" s="64"/>
      <c r="H77" s="64"/>
      <c r="I77" s="157">
        <f>IF(A77="","",SUMIF($D$3:$D$77,"Inflow",$F$3:$F$77)-SUMIF($D$3:$D$77,"Outflow",$F$3:$F$77)+SUM(Bank_Accounts!$E$3:$E$22))</f>
      </c>
      <c r="J77" s="156"/>
      <c r="K77" s="64"/>
    </row>
    <row r="78" spans="1:11" x14ac:dyDescent="0.25">
      <c r="A78" s="65"/>
      <c r="B78" s="64"/>
      <c r="C78" s="64"/>
      <c r="D78" s="64"/>
      <c r="E78" s="64"/>
      <c r="F78" s="66"/>
      <c r="G78" s="64"/>
      <c r="H78" s="64"/>
      <c r="I78" s="157">
        <f>IF(A78="","",SUMIF($D$3:$D$78,"Inflow",$F$3:$F$78)-SUMIF($D$3:$D$78,"Outflow",$F$3:$F$78)+SUM(Bank_Accounts!$E$3:$E$22))</f>
      </c>
      <c r="J78" s="156"/>
      <c r="K78" s="64"/>
    </row>
    <row r="79" spans="1:11" x14ac:dyDescent="0.25">
      <c r="A79" s="65"/>
      <c r="B79" s="64"/>
      <c r="C79" s="64"/>
      <c r="D79" s="64"/>
      <c r="E79" s="64"/>
      <c r="F79" s="66"/>
      <c r="G79" s="64"/>
      <c r="H79" s="64"/>
      <c r="I79" s="157">
        <f>IF(A79="","",SUMIF($D$3:$D$79,"Inflow",$F$3:$F$79)-SUMIF($D$3:$D$79,"Outflow",$F$3:$F$79)+SUM(Bank_Accounts!$E$3:$E$22))</f>
      </c>
      <c r="J79" s="156"/>
      <c r="K79" s="64"/>
    </row>
    <row r="80" spans="1:11" x14ac:dyDescent="0.25">
      <c r="A80" s="65"/>
      <c r="B80" s="64"/>
      <c r="C80" s="64"/>
      <c r="D80" s="64"/>
      <c r="E80" s="64"/>
      <c r="F80" s="66"/>
      <c r="G80" s="64"/>
      <c r="H80" s="64"/>
      <c r="I80" s="157">
        <f>IF(A80="","",SUMIF($D$3:$D$80,"Inflow",$F$3:$F$80)-SUMIF($D$3:$D$80,"Outflow",$F$3:$F$80)+SUM(Bank_Accounts!$E$3:$E$22))</f>
      </c>
      <c r="J80" s="156"/>
      <c r="K80" s="64"/>
    </row>
    <row r="81" spans="1:11" x14ac:dyDescent="0.25">
      <c r="A81" s="65"/>
      <c r="B81" s="64"/>
      <c r="C81" s="64"/>
      <c r="D81" s="64"/>
      <c r="E81" s="64"/>
      <c r="F81" s="66"/>
      <c r="G81" s="64"/>
      <c r="H81" s="64"/>
      <c r="I81" s="157">
        <f>IF(A81="","",SUMIF($D$3:$D$81,"Inflow",$F$3:$F$81)-SUMIF($D$3:$D$81,"Outflow",$F$3:$F$81)+SUM(Bank_Accounts!$E$3:$E$22))</f>
      </c>
      <c r="J81" s="156"/>
      <c r="K81" s="64"/>
    </row>
    <row r="82" spans="1:11" x14ac:dyDescent="0.25">
      <c r="A82" s="65"/>
      <c r="B82" s="64"/>
      <c r="C82" s="64"/>
      <c r="D82" s="64"/>
      <c r="E82" s="64"/>
      <c r="F82" s="66"/>
      <c r="G82" s="64"/>
      <c r="H82" s="64"/>
      <c r="I82" s="157">
        <f>IF(A82="","",SUMIF($D$3:$D$82,"Inflow",$F$3:$F$82)-SUMIF($D$3:$D$82,"Outflow",$F$3:$F$82)+SUM(Bank_Accounts!$E$3:$E$22))</f>
      </c>
      <c r="J82" s="156"/>
      <c r="K82" s="64"/>
    </row>
    <row r="83" spans="1:11" x14ac:dyDescent="0.25">
      <c r="A83" s="65"/>
      <c r="B83" s="64"/>
      <c r="C83" s="64"/>
      <c r="D83" s="64"/>
      <c r="E83" s="64"/>
      <c r="F83" s="66"/>
      <c r="G83" s="64"/>
      <c r="H83" s="64"/>
      <c r="I83" s="157">
        <f>IF(A83="","",SUMIF($D$3:$D$83,"Inflow",$F$3:$F$83)-SUMIF($D$3:$D$83,"Outflow",$F$3:$F$83)+SUM(Bank_Accounts!$E$3:$E$22))</f>
      </c>
      <c r="J83" s="156"/>
      <c r="K83" s="64"/>
    </row>
    <row r="84" spans="1:11" x14ac:dyDescent="0.25">
      <c r="A84" s="65"/>
      <c r="B84" s="64"/>
      <c r="C84" s="64"/>
      <c r="D84" s="64"/>
      <c r="E84" s="64"/>
      <c r="F84" s="66"/>
      <c r="G84" s="64"/>
      <c r="H84" s="64"/>
      <c r="I84" s="157">
        <f>IF(A84="","",SUMIF($D$3:$D$84,"Inflow",$F$3:$F$84)-SUMIF($D$3:$D$84,"Outflow",$F$3:$F$84)+SUM(Bank_Accounts!$E$3:$E$22))</f>
      </c>
      <c r="J84" s="156"/>
      <c r="K84" s="64"/>
    </row>
    <row r="85" spans="1:11" x14ac:dyDescent="0.25">
      <c r="A85" s="65"/>
      <c r="B85" s="64"/>
      <c r="C85" s="64"/>
      <c r="D85" s="64"/>
      <c r="E85" s="64"/>
      <c r="F85" s="66"/>
      <c r="G85" s="64"/>
      <c r="H85" s="64"/>
      <c r="I85" s="157">
        <f>IF(A85="","",SUMIF($D$3:$D$85,"Inflow",$F$3:$F$85)-SUMIF($D$3:$D$85,"Outflow",$F$3:$F$85)+SUM(Bank_Accounts!$E$3:$E$22))</f>
      </c>
      <c r="J85" s="156"/>
      <c r="K85" s="64"/>
    </row>
    <row r="86" spans="1:11" x14ac:dyDescent="0.25">
      <c r="A86" s="65"/>
      <c r="B86" s="64"/>
      <c r="C86" s="64"/>
      <c r="D86" s="64"/>
      <c r="E86" s="64"/>
      <c r="F86" s="66"/>
      <c r="G86" s="64"/>
      <c r="H86" s="64"/>
      <c r="I86" s="157">
        <f>IF(A86="","",SUMIF($D$3:$D$86,"Inflow",$F$3:$F$86)-SUMIF($D$3:$D$86,"Outflow",$F$3:$F$86)+SUM(Bank_Accounts!$E$3:$E$22))</f>
      </c>
      <c r="J86" s="156"/>
      <c r="K86" s="64"/>
    </row>
    <row r="87" spans="1:11" x14ac:dyDescent="0.25">
      <c r="A87" s="65"/>
      <c r="B87" s="64"/>
      <c r="C87" s="64"/>
      <c r="D87" s="64"/>
      <c r="E87" s="64"/>
      <c r="F87" s="66"/>
      <c r="G87" s="64"/>
      <c r="H87" s="64"/>
      <c r="I87" s="157">
        <f>IF(A87="","",SUMIF($D$3:$D$87,"Inflow",$F$3:$F$87)-SUMIF($D$3:$D$87,"Outflow",$F$3:$F$87)+SUM(Bank_Accounts!$E$3:$E$22))</f>
      </c>
      <c r="J87" s="156"/>
      <c r="K87" s="64"/>
    </row>
    <row r="88" spans="1:11" x14ac:dyDescent="0.25">
      <c r="A88" s="65"/>
      <c r="B88" s="64"/>
      <c r="C88" s="64"/>
      <c r="D88" s="64"/>
      <c r="E88" s="64"/>
      <c r="F88" s="66"/>
      <c r="G88" s="64"/>
      <c r="H88" s="64"/>
      <c r="I88" s="157">
        <f>IF(A88="","",SUMIF($D$3:$D$88,"Inflow",$F$3:$F$88)-SUMIF($D$3:$D$88,"Outflow",$F$3:$F$88)+SUM(Bank_Accounts!$E$3:$E$22))</f>
      </c>
      <c r="J88" s="156"/>
      <c r="K88" s="64"/>
    </row>
    <row r="89" spans="1:11" x14ac:dyDescent="0.25">
      <c r="A89" s="65"/>
      <c r="B89" s="64"/>
      <c r="C89" s="64"/>
      <c r="D89" s="64"/>
      <c r="E89" s="64"/>
      <c r="F89" s="66"/>
      <c r="G89" s="64"/>
      <c r="H89" s="64"/>
      <c r="I89" s="157">
        <f>IF(A89="","",SUMIF($D$3:$D$89,"Inflow",$F$3:$F$89)-SUMIF($D$3:$D$89,"Outflow",$F$3:$F$89)+SUM(Bank_Accounts!$E$3:$E$22))</f>
      </c>
      <c r="J89" s="156"/>
      <c r="K89" s="64"/>
    </row>
    <row r="90" spans="1:11" x14ac:dyDescent="0.25">
      <c r="A90" s="65"/>
      <c r="B90" s="64"/>
      <c r="C90" s="64"/>
      <c r="D90" s="64"/>
      <c r="E90" s="64"/>
      <c r="F90" s="66"/>
      <c r="G90" s="64"/>
      <c r="H90" s="64"/>
      <c r="I90" s="157">
        <f>IF(A90="","",SUMIF($D$3:$D$90,"Inflow",$F$3:$F$90)-SUMIF($D$3:$D$90,"Outflow",$F$3:$F$90)+SUM(Bank_Accounts!$E$3:$E$22))</f>
      </c>
      <c r="J90" s="156"/>
      <c r="K90" s="64"/>
    </row>
    <row r="91" spans="1:11" x14ac:dyDescent="0.25">
      <c r="A91" s="65"/>
      <c r="B91" s="64"/>
      <c r="C91" s="64"/>
      <c r="D91" s="64"/>
      <c r="E91" s="64"/>
      <c r="F91" s="66"/>
      <c r="G91" s="64"/>
      <c r="H91" s="64"/>
      <c r="I91" s="157">
        <f>IF(A91="","",SUMIF($D$3:$D$91,"Inflow",$F$3:$F$91)-SUMIF($D$3:$D$91,"Outflow",$F$3:$F$91)+SUM(Bank_Accounts!$E$3:$E$22))</f>
      </c>
      <c r="J91" s="156"/>
      <c r="K91" s="64"/>
    </row>
    <row r="92" spans="1:11" x14ac:dyDescent="0.25">
      <c r="A92" s="65"/>
      <c r="B92" s="64"/>
      <c r="C92" s="64"/>
      <c r="D92" s="64"/>
      <c r="E92" s="64"/>
      <c r="F92" s="66"/>
      <c r="G92" s="64"/>
      <c r="H92" s="64"/>
      <c r="I92" s="157">
        <f>IF(A92="","",SUMIF($D$3:$D$92,"Inflow",$F$3:$F$92)-SUMIF($D$3:$D$92,"Outflow",$F$3:$F$92)+SUM(Bank_Accounts!$E$3:$E$22))</f>
      </c>
      <c r="J92" s="156"/>
      <c r="K92" s="64"/>
    </row>
    <row r="93" spans="1:11" x14ac:dyDescent="0.25">
      <c r="A93" s="65"/>
      <c r="B93" s="64"/>
      <c r="C93" s="64"/>
      <c r="D93" s="64"/>
      <c r="E93" s="64"/>
      <c r="F93" s="66"/>
      <c r="G93" s="64"/>
      <c r="H93" s="64"/>
      <c r="I93" s="157">
        <f>IF(A93="","",SUMIF($D$3:$D$93,"Inflow",$F$3:$F$93)-SUMIF($D$3:$D$93,"Outflow",$F$3:$F$93)+SUM(Bank_Accounts!$E$3:$E$22))</f>
      </c>
      <c r="J93" s="156"/>
      <c r="K93" s="64"/>
    </row>
    <row r="94" spans="1:11" x14ac:dyDescent="0.25">
      <c r="A94" s="65"/>
      <c r="B94" s="64"/>
      <c r="C94" s="64"/>
      <c r="D94" s="64"/>
      <c r="E94" s="64"/>
      <c r="F94" s="66"/>
      <c r="G94" s="64"/>
      <c r="H94" s="64"/>
      <c r="I94" s="157">
        <f>IF(A94="","",SUMIF($D$3:$D$94,"Inflow",$F$3:$F$94)-SUMIF($D$3:$D$94,"Outflow",$F$3:$F$94)+SUM(Bank_Accounts!$E$3:$E$22))</f>
      </c>
      <c r="J94" s="156"/>
      <c r="K94" s="64"/>
    </row>
    <row r="95" spans="1:11" x14ac:dyDescent="0.25">
      <c r="A95" s="65"/>
      <c r="B95" s="64"/>
      <c r="C95" s="64"/>
      <c r="D95" s="64"/>
      <c r="E95" s="64"/>
      <c r="F95" s="66"/>
      <c r="G95" s="64"/>
      <c r="H95" s="64"/>
      <c r="I95" s="157">
        <f>IF(A95="","",SUMIF($D$3:$D$95,"Inflow",$F$3:$F$95)-SUMIF($D$3:$D$95,"Outflow",$F$3:$F$95)+SUM(Bank_Accounts!$E$3:$E$22))</f>
      </c>
      <c r="J95" s="156"/>
      <c r="K95" s="64"/>
    </row>
    <row r="96" spans="1:11" x14ac:dyDescent="0.25">
      <c r="A96" s="65"/>
      <c r="B96" s="64"/>
      <c r="C96" s="64"/>
      <c r="D96" s="64"/>
      <c r="E96" s="64"/>
      <c r="F96" s="66"/>
      <c r="G96" s="64"/>
      <c r="H96" s="64"/>
      <c r="I96" s="157">
        <f>IF(A96="","",SUMIF($D$3:$D$96,"Inflow",$F$3:$F$96)-SUMIF($D$3:$D$96,"Outflow",$F$3:$F$96)+SUM(Bank_Accounts!$E$3:$E$22))</f>
      </c>
      <c r="J96" s="156"/>
      <c r="K96" s="64"/>
    </row>
    <row r="97" spans="1:11" x14ac:dyDescent="0.25">
      <c r="A97" s="65"/>
      <c r="B97" s="64"/>
      <c r="C97" s="64"/>
      <c r="D97" s="64"/>
      <c r="E97" s="64"/>
      <c r="F97" s="66"/>
      <c r="G97" s="64"/>
      <c r="H97" s="64"/>
      <c r="I97" s="157">
        <f>IF(A97="","",SUMIF($D$3:$D$97,"Inflow",$F$3:$F$97)-SUMIF($D$3:$D$97,"Outflow",$F$3:$F$97)+SUM(Bank_Accounts!$E$3:$E$22))</f>
      </c>
      <c r="J97" s="156"/>
      <c r="K97" s="64"/>
    </row>
    <row r="98" spans="1:11" x14ac:dyDescent="0.25">
      <c r="A98" s="65"/>
      <c r="B98" s="64"/>
      <c r="C98" s="64"/>
      <c r="D98" s="64"/>
      <c r="E98" s="64"/>
      <c r="F98" s="66"/>
      <c r="G98" s="64"/>
      <c r="H98" s="64"/>
      <c r="I98" s="157">
        <f>IF(A98="","",SUMIF($D$3:$D$98,"Inflow",$F$3:$F$98)-SUMIF($D$3:$D$98,"Outflow",$F$3:$F$98)+SUM(Bank_Accounts!$E$3:$E$22))</f>
      </c>
      <c r="J98" s="156"/>
      <c r="K98" s="64"/>
    </row>
    <row r="99" spans="1:11" x14ac:dyDescent="0.25">
      <c r="A99" s="65"/>
      <c r="B99" s="64"/>
      <c r="C99" s="64"/>
      <c r="D99" s="64"/>
      <c r="E99" s="64"/>
      <c r="F99" s="66"/>
      <c r="G99" s="64"/>
      <c r="H99" s="64"/>
      <c r="I99" s="157">
        <f>IF(A99="","",SUMIF($D$3:$D$99,"Inflow",$F$3:$F$99)-SUMIF($D$3:$D$99,"Outflow",$F$3:$F$99)+SUM(Bank_Accounts!$E$3:$E$22))</f>
      </c>
      <c r="J99" s="156"/>
      <c r="K99" s="64"/>
    </row>
    <row r="100" spans="1:11" x14ac:dyDescent="0.25">
      <c r="A100" s="65"/>
      <c r="B100" s="64"/>
      <c r="C100" s="64"/>
      <c r="D100" s="64"/>
      <c r="E100" s="64"/>
      <c r="F100" s="66"/>
      <c r="G100" s="64"/>
      <c r="H100" s="64"/>
      <c r="I100" s="157">
        <f>IF(A100="","",SUMIF($D$3:$D$100,"Inflow",$F$3:$F$100)-SUMIF($D$3:$D$100,"Outflow",$F$3:$F$100)+SUM(Bank_Accounts!$E$3:$E$22))</f>
      </c>
      <c r="J100" s="156"/>
      <c r="K100" s="64"/>
    </row>
    <row r="101" spans="1:11" x14ac:dyDescent="0.25">
      <c r="A101" s="65"/>
      <c r="B101" s="64"/>
      <c r="C101" s="64"/>
      <c r="D101" s="64"/>
      <c r="E101" s="64"/>
      <c r="F101" s="66"/>
      <c r="G101" s="64"/>
      <c r="H101" s="64"/>
      <c r="I101" s="157">
        <f>IF(A101="","",SUMIF($D$3:$D$101,"Inflow",$F$3:$F$101)-SUMIF($D$3:$D$101,"Outflow",$F$3:$F$101)+SUM(Bank_Accounts!$E$3:$E$22))</f>
      </c>
      <c r="J101" s="156"/>
      <c r="K101" s="64"/>
    </row>
    <row r="102" spans="1:11" x14ac:dyDescent="0.25">
      <c r="A102" s="65"/>
      <c r="B102" s="64"/>
      <c r="C102" s="64"/>
      <c r="D102" s="64"/>
      <c r="E102" s="64"/>
      <c r="F102" s="66"/>
      <c r="G102" s="64"/>
      <c r="H102" s="64"/>
      <c r="I102" s="157">
        <f>IF(A102="","",SUMIF($D$3:$D$102,"Inflow",$F$3:$F$102)-SUMIF($D$3:$D$102,"Outflow",$F$3:$F$102)+SUM(Bank_Accounts!$E$3:$E$22))</f>
      </c>
      <c r="J102" s="156"/>
      <c r="K102" s="64"/>
    </row>
    <row r="103" spans="1:11" x14ac:dyDescent="0.25">
      <c r="A103" s="65"/>
      <c r="B103" s="64"/>
      <c r="C103" s="64"/>
      <c r="D103" s="64"/>
      <c r="E103" s="64"/>
      <c r="F103" s="66"/>
      <c r="G103" s="64"/>
      <c r="H103" s="64"/>
      <c r="I103" s="157">
        <f>IF(A103="","",SUMIF($D$3:$D$103,"Inflow",$F$3:$F$103)-SUMIF($D$3:$D$103,"Outflow",$F$3:$F$103)+SUM(Bank_Accounts!$E$3:$E$22))</f>
      </c>
      <c r="J103" s="156"/>
      <c r="K103" s="64"/>
    </row>
    <row r="104" spans="1:11" x14ac:dyDescent="0.25">
      <c r="A104" s="65"/>
      <c r="B104" s="64"/>
      <c r="C104" s="64"/>
      <c r="D104" s="64"/>
      <c r="E104" s="64"/>
      <c r="F104" s="66"/>
      <c r="G104" s="64"/>
      <c r="H104" s="64"/>
      <c r="I104" s="157">
        <f>IF(A104="","",SUMIF($D$3:$D$104,"Inflow",$F$3:$F$104)-SUMIF($D$3:$D$104,"Outflow",$F$3:$F$104)+SUM(Bank_Accounts!$E$3:$E$22))</f>
      </c>
      <c r="J104" s="156"/>
      <c r="K104" s="64"/>
    </row>
    <row r="105" spans="1:11" x14ac:dyDescent="0.25">
      <c r="A105" s="65"/>
      <c r="B105" s="64"/>
      <c r="C105" s="64"/>
      <c r="D105" s="64"/>
      <c r="E105" s="64"/>
      <c r="F105" s="66"/>
      <c r="G105" s="64"/>
      <c r="H105" s="64"/>
      <c r="I105" s="157">
        <f>IF(A105="","",SUMIF($D$3:$D$105,"Inflow",$F$3:$F$105)-SUMIF($D$3:$D$105,"Outflow",$F$3:$F$105)+SUM(Bank_Accounts!$E$3:$E$22))</f>
      </c>
      <c r="J105" s="156"/>
      <c r="K105" s="64"/>
    </row>
    <row r="106" spans="1:11" x14ac:dyDescent="0.25">
      <c r="A106" s="65"/>
      <c r="B106" s="64"/>
      <c r="C106" s="64"/>
      <c r="D106" s="64"/>
      <c r="E106" s="64"/>
      <c r="F106" s="66"/>
      <c r="G106" s="64"/>
      <c r="H106" s="64"/>
      <c r="I106" s="157">
        <f>IF(A106="","",SUMIF($D$3:$D$106,"Inflow",$F$3:$F$106)-SUMIF($D$3:$D$106,"Outflow",$F$3:$F$106)+SUM(Bank_Accounts!$E$3:$E$22))</f>
      </c>
      <c r="J106" s="156"/>
      <c r="K106" s="64"/>
    </row>
    <row r="107" spans="1:11" x14ac:dyDescent="0.25">
      <c r="A107" s="65"/>
      <c r="B107" s="64"/>
      <c r="C107" s="64"/>
      <c r="D107" s="64"/>
      <c r="E107" s="64"/>
      <c r="F107" s="66"/>
      <c r="G107" s="64"/>
      <c r="H107" s="64"/>
      <c r="I107" s="157">
        <f>IF(A107="","",SUMIF($D$3:$D$107,"Inflow",$F$3:$F$107)-SUMIF($D$3:$D$107,"Outflow",$F$3:$F$107)+SUM(Bank_Accounts!$E$3:$E$22))</f>
      </c>
      <c r="J107" s="156"/>
      <c r="K107" s="64"/>
    </row>
    <row r="108" spans="1:11" x14ac:dyDescent="0.25">
      <c r="A108" s="65"/>
      <c r="B108" s="64"/>
      <c r="C108" s="64"/>
      <c r="D108" s="64"/>
      <c r="E108" s="64"/>
      <c r="F108" s="66"/>
      <c r="G108" s="64"/>
      <c r="H108" s="64"/>
      <c r="I108" s="157">
        <f>IF(A108="","",SUMIF($D$3:$D$108,"Inflow",$F$3:$F$108)-SUMIF($D$3:$D$108,"Outflow",$F$3:$F$108)+SUM(Bank_Accounts!$E$3:$E$22))</f>
      </c>
      <c r="J108" s="156"/>
      <c r="K108" s="64"/>
    </row>
    <row r="109" spans="1:11" x14ac:dyDescent="0.25">
      <c r="A109" s="65"/>
      <c r="B109" s="64"/>
      <c r="C109" s="64"/>
      <c r="D109" s="64"/>
      <c r="E109" s="64"/>
      <c r="F109" s="66"/>
      <c r="G109" s="64"/>
      <c r="H109" s="64"/>
      <c r="I109" s="157">
        <f>IF(A109="","",SUMIF($D$3:$D$109,"Inflow",$F$3:$F$109)-SUMIF($D$3:$D$109,"Outflow",$F$3:$F$109)+SUM(Bank_Accounts!$E$3:$E$22))</f>
      </c>
      <c r="J109" s="156"/>
      <c r="K109" s="64"/>
    </row>
    <row r="110" spans="1:11" x14ac:dyDescent="0.25">
      <c r="A110" s="65"/>
      <c r="B110" s="64"/>
      <c r="C110" s="64"/>
      <c r="D110" s="64"/>
      <c r="E110" s="64"/>
      <c r="F110" s="66"/>
      <c r="G110" s="64"/>
      <c r="H110" s="64"/>
      <c r="I110" s="157">
        <f>IF(A110="","",SUMIF($D$3:$D$110,"Inflow",$F$3:$F$110)-SUMIF($D$3:$D$110,"Outflow",$F$3:$F$110)+SUM(Bank_Accounts!$E$3:$E$22))</f>
      </c>
      <c r="J110" s="156"/>
      <c r="K110" s="64"/>
    </row>
    <row r="111" spans="1:11" x14ac:dyDescent="0.25">
      <c r="A111" s="65"/>
      <c r="B111" s="64"/>
      <c r="C111" s="64"/>
      <c r="D111" s="64"/>
      <c r="E111" s="64"/>
      <c r="F111" s="66"/>
      <c r="G111" s="64"/>
      <c r="H111" s="64"/>
      <c r="I111" s="157">
        <f>IF(A111="","",SUMIF($D$3:$D$111,"Inflow",$F$3:$F$111)-SUMIF($D$3:$D$111,"Outflow",$F$3:$F$111)+SUM(Bank_Accounts!$E$3:$E$22))</f>
      </c>
      <c r="J111" s="156"/>
      <c r="K111" s="64"/>
    </row>
    <row r="112" spans="1:11" x14ac:dyDescent="0.25">
      <c r="A112" s="65"/>
      <c r="B112" s="64"/>
      <c r="C112" s="64"/>
      <c r="D112" s="64"/>
      <c r="E112" s="64"/>
      <c r="F112" s="66"/>
      <c r="G112" s="64"/>
      <c r="H112" s="64"/>
      <c r="I112" s="157">
        <f>IF(A112="","",SUMIF($D$3:$D$112,"Inflow",$F$3:$F$112)-SUMIF($D$3:$D$112,"Outflow",$F$3:$F$112)+SUM(Bank_Accounts!$E$3:$E$22))</f>
      </c>
      <c r="J112" s="156"/>
      <c r="K112" s="64"/>
    </row>
    <row r="113" spans="1:11" x14ac:dyDescent="0.25">
      <c r="A113" s="65"/>
      <c r="B113" s="64"/>
      <c r="C113" s="64"/>
      <c r="D113" s="64"/>
      <c r="E113" s="64"/>
      <c r="F113" s="66"/>
      <c r="G113" s="64"/>
      <c r="H113" s="64"/>
      <c r="I113" s="157">
        <f>IF(A113="","",SUMIF($D$3:$D$113,"Inflow",$F$3:$F$113)-SUMIF($D$3:$D$113,"Outflow",$F$3:$F$113)+SUM(Bank_Accounts!$E$3:$E$22))</f>
      </c>
      <c r="J113" s="156"/>
      <c r="K113" s="64"/>
    </row>
    <row r="114" spans="1:11" x14ac:dyDescent="0.25">
      <c r="A114" s="65"/>
      <c r="B114" s="64"/>
      <c r="C114" s="64"/>
      <c r="D114" s="64"/>
      <c r="E114" s="64"/>
      <c r="F114" s="66"/>
      <c r="G114" s="64"/>
      <c r="H114" s="64"/>
      <c r="I114" s="157">
        <f>IF(A114="","",SUMIF($D$3:$D$114,"Inflow",$F$3:$F$114)-SUMIF($D$3:$D$114,"Outflow",$F$3:$F$114)+SUM(Bank_Accounts!$E$3:$E$22))</f>
      </c>
      <c r="J114" s="156"/>
      <c r="K114" s="64"/>
    </row>
    <row r="115" spans="1:11" x14ac:dyDescent="0.25">
      <c r="A115" s="65"/>
      <c r="B115" s="64"/>
      <c r="C115" s="64"/>
      <c r="D115" s="64"/>
      <c r="E115" s="64"/>
      <c r="F115" s="66"/>
      <c r="G115" s="64"/>
      <c r="H115" s="64"/>
      <c r="I115" s="157">
        <f>IF(A115="","",SUMIF($D$3:$D$115,"Inflow",$F$3:$F$115)-SUMIF($D$3:$D$115,"Outflow",$F$3:$F$115)+SUM(Bank_Accounts!$E$3:$E$22))</f>
      </c>
      <c r="J115" s="156"/>
      <c r="K115" s="64"/>
    </row>
    <row r="116" spans="1:11" x14ac:dyDescent="0.25">
      <c r="A116" s="65"/>
      <c r="B116" s="64"/>
      <c r="C116" s="64"/>
      <c r="D116" s="64"/>
      <c r="E116" s="64"/>
      <c r="F116" s="66"/>
      <c r="G116" s="64"/>
      <c r="H116" s="64"/>
      <c r="I116" s="157">
        <f>IF(A116="","",SUMIF($D$3:$D$116,"Inflow",$F$3:$F$116)-SUMIF($D$3:$D$116,"Outflow",$F$3:$F$116)+SUM(Bank_Accounts!$E$3:$E$22))</f>
      </c>
      <c r="J116" s="156"/>
      <c r="K116" s="64"/>
    </row>
    <row r="117" spans="1:11" x14ac:dyDescent="0.25">
      <c r="A117" s="65"/>
      <c r="B117" s="64"/>
      <c r="C117" s="64"/>
      <c r="D117" s="64"/>
      <c r="E117" s="64"/>
      <c r="F117" s="66"/>
      <c r="G117" s="64"/>
      <c r="H117" s="64"/>
      <c r="I117" s="157">
        <f>IF(A117="","",SUMIF($D$3:$D$117,"Inflow",$F$3:$F$117)-SUMIF($D$3:$D$117,"Outflow",$F$3:$F$117)+SUM(Bank_Accounts!$E$3:$E$22))</f>
      </c>
      <c r="J117" s="156"/>
      <c r="K117" s="64"/>
    </row>
    <row r="118" spans="1:11" x14ac:dyDescent="0.25">
      <c r="A118" s="65"/>
      <c r="B118" s="64"/>
      <c r="C118" s="64"/>
      <c r="D118" s="64"/>
      <c r="E118" s="64"/>
      <c r="F118" s="66"/>
      <c r="G118" s="64"/>
      <c r="H118" s="64"/>
      <c r="I118" s="157">
        <f>IF(A118="","",SUMIF($D$3:$D$118,"Inflow",$F$3:$F$118)-SUMIF($D$3:$D$118,"Outflow",$F$3:$F$118)+SUM(Bank_Accounts!$E$3:$E$22))</f>
      </c>
      <c r="J118" s="156"/>
      <c r="K118" s="64"/>
    </row>
    <row r="119" spans="1:11" x14ac:dyDescent="0.25">
      <c r="A119" s="65"/>
      <c r="B119" s="64"/>
      <c r="C119" s="64"/>
      <c r="D119" s="64"/>
      <c r="E119" s="64"/>
      <c r="F119" s="66"/>
      <c r="G119" s="64"/>
      <c r="H119" s="64"/>
      <c r="I119" s="157">
        <f>IF(A119="","",SUMIF($D$3:$D$119,"Inflow",$F$3:$F$119)-SUMIF($D$3:$D$119,"Outflow",$F$3:$F$119)+SUM(Bank_Accounts!$E$3:$E$22))</f>
      </c>
      <c r="J119" s="156"/>
      <c r="K119" s="64"/>
    </row>
    <row r="120" spans="1:11" x14ac:dyDescent="0.25">
      <c r="A120" s="65"/>
      <c r="B120" s="64"/>
      <c r="C120" s="64"/>
      <c r="D120" s="64"/>
      <c r="E120" s="64"/>
      <c r="F120" s="66"/>
      <c r="G120" s="64"/>
      <c r="H120" s="64"/>
      <c r="I120" s="157">
        <f>IF(A120="","",SUMIF($D$3:$D$120,"Inflow",$F$3:$F$120)-SUMIF($D$3:$D$120,"Outflow",$F$3:$F$120)+SUM(Bank_Accounts!$E$3:$E$22))</f>
      </c>
      <c r="J120" s="156"/>
      <c r="K120" s="64"/>
    </row>
    <row r="121" spans="1:11" x14ac:dyDescent="0.25">
      <c r="A121" s="65"/>
      <c r="B121" s="64"/>
      <c r="C121" s="64"/>
      <c r="D121" s="64"/>
      <c r="E121" s="64"/>
      <c r="F121" s="66"/>
      <c r="G121" s="64"/>
      <c r="H121" s="64"/>
      <c r="I121" s="157">
        <f>IF(A121="","",SUMIF($D$3:$D$121,"Inflow",$F$3:$F$121)-SUMIF($D$3:$D$121,"Outflow",$F$3:$F$121)+SUM(Bank_Accounts!$E$3:$E$22))</f>
      </c>
      <c r="J121" s="156"/>
      <c r="K121" s="64"/>
    </row>
    <row r="122" spans="1:11" x14ac:dyDescent="0.25">
      <c r="A122" s="65"/>
      <c r="B122" s="64"/>
      <c r="C122" s="64"/>
      <c r="D122" s="64"/>
      <c r="E122" s="64"/>
      <c r="F122" s="66"/>
      <c r="G122" s="64"/>
      <c r="H122" s="64"/>
      <c r="I122" s="157">
        <f>IF(A122="","",SUMIF($D$3:$D$122,"Inflow",$F$3:$F$122)-SUMIF($D$3:$D$122,"Outflow",$F$3:$F$122)+SUM(Bank_Accounts!$E$3:$E$22))</f>
      </c>
      <c r="J122" s="156"/>
      <c r="K122" s="64"/>
    </row>
    <row r="123" spans="1:11" x14ac:dyDescent="0.25">
      <c r="A123" s="65"/>
      <c r="B123" s="64"/>
      <c r="C123" s="64"/>
      <c r="D123" s="64"/>
      <c r="E123" s="64"/>
      <c r="F123" s="66"/>
      <c r="G123" s="64"/>
      <c r="H123" s="64"/>
      <c r="I123" s="157">
        <f>IF(A123="","",SUMIF($D$3:$D$123,"Inflow",$F$3:$F$123)-SUMIF($D$3:$D$123,"Outflow",$F$3:$F$123)+SUM(Bank_Accounts!$E$3:$E$22))</f>
      </c>
      <c r="J123" s="156"/>
      <c r="K123" s="64"/>
    </row>
    <row r="124" spans="1:11" x14ac:dyDescent="0.25">
      <c r="A124" s="65"/>
      <c r="B124" s="64"/>
      <c r="C124" s="64"/>
      <c r="D124" s="64"/>
      <c r="E124" s="64"/>
      <c r="F124" s="66"/>
      <c r="G124" s="64"/>
      <c r="H124" s="64"/>
      <c r="I124" s="157">
        <f>IF(A124="","",SUMIF($D$3:$D$124,"Inflow",$F$3:$F$124)-SUMIF($D$3:$D$124,"Outflow",$F$3:$F$124)+SUM(Bank_Accounts!$E$3:$E$22))</f>
      </c>
      <c r="J124" s="156"/>
      <c r="K124" s="64"/>
    </row>
    <row r="125" spans="1:11" x14ac:dyDescent="0.25">
      <c r="A125" s="65"/>
      <c r="B125" s="64"/>
      <c r="C125" s="64"/>
      <c r="D125" s="64"/>
      <c r="E125" s="64"/>
      <c r="F125" s="66"/>
      <c r="G125" s="64"/>
      <c r="H125" s="64"/>
      <c r="I125" s="157">
        <f>IF(A125="","",SUMIF($D$3:$D$125,"Inflow",$F$3:$F$125)-SUMIF($D$3:$D$125,"Outflow",$F$3:$F$125)+SUM(Bank_Accounts!$E$3:$E$22))</f>
      </c>
      <c r="J125" s="156"/>
      <c r="K125" s="64"/>
    </row>
    <row r="126" spans="1:11" x14ac:dyDescent="0.25">
      <c r="A126" s="65"/>
      <c r="B126" s="64"/>
      <c r="C126" s="64"/>
      <c r="D126" s="64"/>
      <c r="E126" s="64"/>
      <c r="F126" s="66"/>
      <c r="G126" s="64"/>
      <c r="H126" s="64"/>
      <c r="I126" s="157">
        <f>IF(A126="","",SUMIF($D$3:$D$126,"Inflow",$F$3:$F$126)-SUMIF($D$3:$D$126,"Outflow",$F$3:$F$126)+SUM(Bank_Accounts!$E$3:$E$22))</f>
      </c>
      <c r="J126" s="156"/>
      <c r="K126" s="64"/>
    </row>
    <row r="127" spans="1:11" x14ac:dyDescent="0.25">
      <c r="A127" s="65"/>
      <c r="B127" s="64"/>
      <c r="C127" s="64"/>
      <c r="D127" s="64"/>
      <c r="E127" s="64"/>
      <c r="F127" s="66"/>
      <c r="G127" s="64"/>
      <c r="H127" s="64"/>
      <c r="I127" s="157">
        <f>IF(A127="","",SUMIF($D$3:$D$127,"Inflow",$F$3:$F$127)-SUMIF($D$3:$D$127,"Outflow",$F$3:$F$127)+SUM(Bank_Accounts!$E$3:$E$22))</f>
      </c>
      <c r="J127" s="156"/>
      <c r="K127" s="64"/>
    </row>
    <row r="128" spans="1:11" x14ac:dyDescent="0.25">
      <c r="A128" s="65"/>
      <c r="B128" s="64"/>
      <c r="C128" s="64"/>
      <c r="D128" s="64"/>
      <c r="E128" s="64"/>
      <c r="F128" s="66"/>
      <c r="G128" s="64"/>
      <c r="H128" s="64"/>
      <c r="I128" s="157">
        <f>IF(A128="","",SUMIF($D$3:$D$128,"Inflow",$F$3:$F$128)-SUMIF($D$3:$D$128,"Outflow",$F$3:$F$128)+SUM(Bank_Accounts!$E$3:$E$22))</f>
      </c>
      <c r="J128" s="156"/>
      <c r="K128" s="64"/>
    </row>
    <row r="129" spans="1:11" x14ac:dyDescent="0.25">
      <c r="A129" s="65"/>
      <c r="B129" s="64"/>
      <c r="C129" s="64"/>
      <c r="D129" s="64"/>
      <c r="E129" s="64"/>
      <c r="F129" s="66"/>
      <c r="G129" s="64"/>
      <c r="H129" s="64"/>
      <c r="I129" s="157">
        <f>IF(A129="","",SUMIF($D$3:$D$129,"Inflow",$F$3:$F$129)-SUMIF($D$3:$D$129,"Outflow",$F$3:$F$129)+SUM(Bank_Accounts!$E$3:$E$22))</f>
      </c>
      <c r="J129" s="156"/>
      <c r="K129" s="64"/>
    </row>
    <row r="130" spans="1:11" x14ac:dyDescent="0.25">
      <c r="A130" s="65"/>
      <c r="B130" s="64"/>
      <c r="C130" s="64"/>
      <c r="D130" s="64"/>
      <c r="E130" s="64"/>
      <c r="F130" s="66"/>
      <c r="G130" s="64"/>
      <c r="H130" s="64"/>
      <c r="I130" s="157">
        <f>IF(A130="","",SUMIF($D$3:$D$130,"Inflow",$F$3:$F$130)-SUMIF($D$3:$D$130,"Outflow",$F$3:$F$130)+SUM(Bank_Accounts!$E$3:$E$22))</f>
      </c>
      <c r="J130" s="156"/>
      <c r="K130" s="64"/>
    </row>
    <row r="131" spans="1:11" x14ac:dyDescent="0.25">
      <c r="A131" s="65"/>
      <c r="B131" s="64"/>
      <c r="C131" s="64"/>
      <c r="D131" s="64"/>
      <c r="E131" s="64"/>
      <c r="F131" s="66"/>
      <c r="G131" s="64"/>
      <c r="H131" s="64"/>
      <c r="I131" s="157">
        <f>IF(A131="","",SUMIF($D$3:$D$131,"Inflow",$F$3:$F$131)-SUMIF($D$3:$D$131,"Outflow",$F$3:$F$131)+SUM(Bank_Accounts!$E$3:$E$22))</f>
      </c>
      <c r="J131" s="156"/>
      <c r="K131" s="64"/>
    </row>
    <row r="132" spans="1:11" x14ac:dyDescent="0.25">
      <c r="A132" s="65"/>
      <c r="B132" s="64"/>
      <c r="C132" s="64"/>
      <c r="D132" s="64"/>
      <c r="E132" s="64"/>
      <c r="F132" s="66"/>
      <c r="G132" s="64"/>
      <c r="H132" s="64"/>
      <c r="I132" s="157">
        <f>IF(A132="","",SUMIF($D$3:$D$132,"Inflow",$F$3:$F$132)-SUMIF($D$3:$D$132,"Outflow",$F$3:$F$132)+SUM(Bank_Accounts!$E$3:$E$22))</f>
      </c>
      <c r="J132" s="156"/>
      <c r="K132" s="64"/>
    </row>
    <row r="133" spans="1:11" x14ac:dyDescent="0.25">
      <c r="A133" s="65"/>
      <c r="B133" s="64"/>
      <c r="C133" s="64"/>
      <c r="D133" s="64"/>
      <c r="E133" s="64"/>
      <c r="F133" s="66"/>
      <c r="G133" s="64"/>
      <c r="H133" s="64"/>
      <c r="I133" s="157">
        <f>IF(A133="","",SUMIF($D$3:$D$133,"Inflow",$F$3:$F$133)-SUMIF($D$3:$D$133,"Outflow",$F$3:$F$133)+SUM(Bank_Accounts!$E$3:$E$22))</f>
      </c>
      <c r="J133" s="156"/>
      <c r="K133" s="64"/>
    </row>
    <row r="134" spans="1:11" x14ac:dyDescent="0.25">
      <c r="A134" s="65"/>
      <c r="B134" s="64"/>
      <c r="C134" s="64"/>
      <c r="D134" s="64"/>
      <c r="E134" s="64"/>
      <c r="F134" s="66"/>
      <c r="G134" s="64"/>
      <c r="H134" s="64"/>
      <c r="I134" s="157">
        <f>IF(A134="","",SUMIF($D$3:$D$134,"Inflow",$F$3:$F$134)-SUMIF($D$3:$D$134,"Outflow",$F$3:$F$134)+SUM(Bank_Accounts!$E$3:$E$22))</f>
      </c>
      <c r="J134" s="156"/>
      <c r="K134" s="64"/>
    </row>
    <row r="135" spans="1:11" x14ac:dyDescent="0.25">
      <c r="A135" s="65"/>
      <c r="B135" s="64"/>
      <c r="C135" s="64"/>
      <c r="D135" s="64"/>
      <c r="E135" s="64"/>
      <c r="F135" s="66"/>
      <c r="G135" s="64"/>
      <c r="H135" s="64"/>
      <c r="I135" s="157">
        <f>IF(A135="","",SUMIF($D$3:$D$135,"Inflow",$F$3:$F$135)-SUMIF($D$3:$D$135,"Outflow",$F$3:$F$135)+SUM(Bank_Accounts!$E$3:$E$22))</f>
      </c>
      <c r="J135" s="156"/>
      <c r="K135" s="64"/>
    </row>
    <row r="136" spans="1:11" x14ac:dyDescent="0.25">
      <c r="A136" s="65"/>
      <c r="B136" s="64"/>
      <c r="C136" s="64"/>
      <c r="D136" s="64"/>
      <c r="E136" s="64"/>
      <c r="F136" s="66"/>
      <c r="G136" s="64"/>
      <c r="H136" s="64"/>
      <c r="I136" s="157">
        <f>IF(A136="","",SUMIF($D$3:$D$136,"Inflow",$F$3:$F$136)-SUMIF($D$3:$D$136,"Outflow",$F$3:$F$136)+SUM(Bank_Accounts!$E$3:$E$22))</f>
      </c>
      <c r="J136" s="156"/>
      <c r="K136" s="64"/>
    </row>
    <row r="137" spans="1:11" x14ac:dyDescent="0.25">
      <c r="A137" s="65"/>
      <c r="B137" s="64"/>
      <c r="C137" s="64"/>
      <c r="D137" s="64"/>
      <c r="E137" s="64"/>
      <c r="F137" s="66"/>
      <c r="G137" s="64"/>
      <c r="H137" s="64"/>
      <c r="I137" s="157">
        <f>IF(A137="","",SUMIF($D$3:$D$137,"Inflow",$F$3:$F$137)-SUMIF($D$3:$D$137,"Outflow",$F$3:$F$137)+SUM(Bank_Accounts!$E$3:$E$22))</f>
      </c>
      <c r="J137" s="156"/>
      <c r="K137" s="64"/>
    </row>
    <row r="138" spans="1:11" x14ac:dyDescent="0.25">
      <c r="A138" s="65"/>
      <c r="B138" s="64"/>
      <c r="C138" s="64"/>
      <c r="D138" s="64"/>
      <c r="E138" s="64"/>
      <c r="F138" s="66"/>
      <c r="G138" s="64"/>
      <c r="H138" s="64"/>
      <c r="I138" s="157">
        <f>IF(A138="","",SUMIF($D$3:$D$138,"Inflow",$F$3:$F$138)-SUMIF($D$3:$D$138,"Outflow",$F$3:$F$138)+SUM(Bank_Accounts!$E$3:$E$22))</f>
      </c>
      <c r="J138" s="156"/>
      <c r="K138" s="64"/>
    </row>
    <row r="139" spans="1:11" x14ac:dyDescent="0.25">
      <c r="A139" s="65"/>
      <c r="B139" s="64"/>
      <c r="C139" s="64"/>
      <c r="D139" s="64"/>
      <c r="E139" s="64"/>
      <c r="F139" s="66"/>
      <c r="G139" s="64"/>
      <c r="H139" s="64"/>
      <c r="I139" s="157">
        <f>IF(A139="","",SUMIF($D$3:$D$139,"Inflow",$F$3:$F$139)-SUMIF($D$3:$D$139,"Outflow",$F$3:$F$139)+SUM(Bank_Accounts!$E$3:$E$22))</f>
      </c>
      <c r="J139" s="156"/>
      <c r="K139" s="64"/>
    </row>
    <row r="140" spans="1:11" x14ac:dyDescent="0.25">
      <c r="A140" s="65"/>
      <c r="B140" s="64"/>
      <c r="C140" s="64"/>
      <c r="D140" s="64"/>
      <c r="E140" s="64"/>
      <c r="F140" s="66"/>
      <c r="G140" s="64"/>
      <c r="H140" s="64"/>
      <c r="I140" s="157">
        <f>IF(A140="","",SUMIF($D$3:$D$140,"Inflow",$F$3:$F$140)-SUMIF($D$3:$D$140,"Outflow",$F$3:$F$140)+SUM(Bank_Accounts!$E$3:$E$22))</f>
      </c>
      <c r="J140" s="156"/>
      <c r="K140" s="64"/>
    </row>
    <row r="141" spans="1:11" x14ac:dyDescent="0.25">
      <c r="A141" s="65"/>
      <c r="B141" s="64"/>
      <c r="C141" s="64"/>
      <c r="D141" s="64"/>
      <c r="E141" s="64"/>
      <c r="F141" s="66"/>
      <c r="G141" s="64"/>
      <c r="H141" s="64"/>
      <c r="I141" s="157">
        <f>IF(A141="","",SUMIF($D$3:$D$141,"Inflow",$F$3:$F$141)-SUMIF($D$3:$D$141,"Outflow",$F$3:$F$141)+SUM(Bank_Accounts!$E$3:$E$22))</f>
      </c>
      <c r="J141" s="156"/>
      <c r="K141" s="64"/>
    </row>
    <row r="142" spans="1:11" x14ac:dyDescent="0.25">
      <c r="A142" s="65"/>
      <c r="B142" s="64"/>
      <c r="C142" s="64"/>
      <c r="D142" s="64"/>
      <c r="E142" s="64"/>
      <c r="F142" s="66"/>
      <c r="G142" s="64"/>
      <c r="H142" s="64"/>
      <c r="I142" s="157">
        <f>IF(A142="","",SUMIF($D$3:$D$142,"Inflow",$F$3:$F$142)-SUMIF($D$3:$D$142,"Outflow",$F$3:$F$142)+SUM(Bank_Accounts!$E$3:$E$22))</f>
      </c>
      <c r="J142" s="156"/>
      <c r="K142" s="64"/>
    </row>
    <row r="143" spans="1:11" x14ac:dyDescent="0.25">
      <c r="A143" s="65"/>
      <c r="B143" s="64"/>
      <c r="C143" s="64"/>
      <c r="D143" s="64"/>
      <c r="E143" s="64"/>
      <c r="F143" s="66"/>
      <c r="G143" s="64"/>
      <c r="H143" s="64"/>
      <c r="I143" s="157">
        <f>IF(A143="","",SUMIF($D$3:$D$143,"Inflow",$F$3:$F$143)-SUMIF($D$3:$D$143,"Outflow",$F$3:$F$143)+SUM(Bank_Accounts!$E$3:$E$22))</f>
      </c>
      <c r="J143" s="156"/>
      <c r="K143" s="64"/>
    </row>
    <row r="144" spans="1:11" x14ac:dyDescent="0.25">
      <c r="A144" s="65"/>
      <c r="B144" s="64"/>
      <c r="C144" s="64"/>
      <c r="D144" s="64"/>
      <c r="E144" s="64"/>
      <c r="F144" s="66"/>
      <c r="G144" s="64"/>
      <c r="H144" s="64"/>
      <c r="I144" s="157">
        <f>IF(A144="","",SUMIF($D$3:$D$144,"Inflow",$F$3:$F$144)-SUMIF($D$3:$D$144,"Outflow",$F$3:$F$144)+SUM(Bank_Accounts!$E$3:$E$22))</f>
      </c>
      <c r="J144" s="156"/>
      <c r="K144" s="64"/>
    </row>
    <row r="145" spans="1:11" x14ac:dyDescent="0.25">
      <c r="A145" s="65"/>
      <c r="B145" s="64"/>
      <c r="C145" s="64"/>
      <c r="D145" s="64"/>
      <c r="E145" s="64"/>
      <c r="F145" s="66"/>
      <c r="G145" s="64"/>
      <c r="H145" s="64"/>
      <c r="I145" s="157">
        <f>IF(A145="","",SUMIF($D$3:$D$145,"Inflow",$F$3:$F$145)-SUMIF($D$3:$D$145,"Outflow",$F$3:$F$145)+SUM(Bank_Accounts!$E$3:$E$22))</f>
      </c>
      <c r="J145" s="156"/>
      <c r="K145" s="64"/>
    </row>
    <row r="146" spans="1:11" x14ac:dyDescent="0.25">
      <c r="A146" s="65"/>
      <c r="B146" s="64"/>
      <c r="C146" s="64"/>
      <c r="D146" s="64"/>
      <c r="E146" s="64"/>
      <c r="F146" s="66"/>
      <c r="G146" s="64"/>
      <c r="H146" s="64"/>
      <c r="I146" s="157">
        <f>IF(A146="","",SUMIF($D$3:$D$146,"Inflow",$F$3:$F$146)-SUMIF($D$3:$D$146,"Outflow",$F$3:$F$146)+SUM(Bank_Accounts!$E$3:$E$22))</f>
      </c>
      <c r="J146" s="156"/>
      <c r="K146" s="64"/>
    </row>
    <row r="147" spans="1:11" x14ac:dyDescent="0.25">
      <c r="A147" s="65"/>
      <c r="B147" s="64"/>
      <c r="C147" s="64"/>
      <c r="D147" s="64"/>
      <c r="E147" s="64"/>
      <c r="F147" s="66"/>
      <c r="G147" s="64"/>
      <c r="H147" s="64"/>
      <c r="I147" s="157">
        <f>IF(A147="","",SUMIF($D$3:$D$147,"Inflow",$F$3:$F$147)-SUMIF($D$3:$D$147,"Outflow",$F$3:$F$147)+SUM(Bank_Accounts!$E$3:$E$22))</f>
      </c>
      <c r="J147" s="156"/>
      <c r="K147" s="64"/>
    </row>
    <row r="148" spans="1:11" x14ac:dyDescent="0.25">
      <c r="A148" s="65"/>
      <c r="B148" s="64"/>
      <c r="C148" s="64"/>
      <c r="D148" s="64"/>
      <c r="E148" s="64"/>
      <c r="F148" s="66"/>
      <c r="G148" s="64"/>
      <c r="H148" s="64"/>
      <c r="I148" s="157">
        <f>IF(A148="","",SUMIF($D$3:$D$148,"Inflow",$F$3:$F$148)-SUMIF($D$3:$D$148,"Outflow",$F$3:$F$148)+SUM(Bank_Accounts!$E$3:$E$22))</f>
      </c>
      <c r="J148" s="156"/>
      <c r="K148" s="64"/>
    </row>
    <row r="149" spans="1:11" x14ac:dyDescent="0.25">
      <c r="A149" s="65"/>
      <c r="B149" s="64"/>
      <c r="C149" s="64"/>
      <c r="D149" s="64"/>
      <c r="E149" s="64"/>
      <c r="F149" s="66"/>
      <c r="G149" s="64"/>
      <c r="H149" s="64"/>
      <c r="I149" s="157">
        <f>IF(A149="","",SUMIF($D$3:$D$149,"Inflow",$F$3:$F$149)-SUMIF($D$3:$D$149,"Outflow",$F$3:$F$149)+SUM(Bank_Accounts!$E$3:$E$22))</f>
      </c>
      <c r="J149" s="156"/>
      <c r="K149" s="64"/>
    </row>
    <row r="150" spans="1:11" x14ac:dyDescent="0.25">
      <c r="A150" s="65"/>
      <c r="B150" s="64"/>
      <c r="C150" s="64"/>
      <c r="D150" s="64"/>
      <c r="E150" s="64"/>
      <c r="F150" s="66"/>
      <c r="G150" s="64"/>
      <c r="H150" s="64"/>
      <c r="I150" s="157">
        <f>IF(A150="","",SUMIF($D$3:$D$150,"Inflow",$F$3:$F$150)-SUMIF($D$3:$D$150,"Outflow",$F$3:$F$150)+SUM(Bank_Accounts!$E$3:$E$22))</f>
      </c>
      <c r="J150" s="156"/>
      <c r="K150" s="64"/>
    </row>
    <row r="151" spans="1:11" x14ac:dyDescent="0.25">
      <c r="A151" s="65"/>
      <c r="B151" s="64"/>
      <c r="C151" s="64"/>
      <c r="D151" s="64"/>
      <c r="E151" s="64"/>
      <c r="F151" s="66"/>
      <c r="G151" s="64"/>
      <c r="H151" s="64"/>
      <c r="I151" s="157">
        <f>IF(A151="","",SUMIF($D$3:$D$151,"Inflow",$F$3:$F$151)-SUMIF($D$3:$D$151,"Outflow",$F$3:$F$151)+SUM(Bank_Accounts!$E$3:$E$22))</f>
      </c>
      <c r="J151" s="156"/>
      <c r="K151" s="64"/>
    </row>
    <row r="152" spans="1:11" x14ac:dyDescent="0.25">
      <c r="A152" s="65"/>
      <c r="B152" s="64"/>
      <c r="C152" s="64"/>
      <c r="D152" s="64"/>
      <c r="E152" s="64"/>
      <c r="F152" s="66"/>
      <c r="G152" s="64"/>
      <c r="H152" s="64"/>
      <c r="I152" s="157">
        <f>IF(A152="","",SUMIF($D$3:$D$152,"Inflow",$F$3:$F$152)-SUMIF($D$3:$D$152,"Outflow",$F$3:$F$152)+SUM(Bank_Accounts!$E$3:$E$22))</f>
      </c>
      <c r="J152" s="156"/>
      <c r="K152" s="64"/>
    </row>
    <row r="153" spans="1:11" x14ac:dyDescent="0.25">
      <c r="A153" s="65"/>
      <c r="B153" s="64"/>
      <c r="C153" s="64"/>
      <c r="D153" s="64"/>
      <c r="E153" s="64"/>
      <c r="F153" s="66"/>
      <c r="G153" s="64"/>
      <c r="H153" s="64"/>
      <c r="I153" s="157">
        <f>IF(A153="","",SUMIF($D$3:$D$153,"Inflow",$F$3:$F$153)-SUMIF($D$3:$D$153,"Outflow",$F$3:$F$153)+SUM(Bank_Accounts!$E$3:$E$22))</f>
      </c>
      <c r="J153" s="156"/>
      <c r="K153" s="64"/>
    </row>
    <row r="154" spans="1:11" x14ac:dyDescent="0.25">
      <c r="A154" s="65"/>
      <c r="B154" s="64"/>
      <c r="C154" s="64"/>
      <c r="D154" s="64"/>
      <c r="E154" s="64"/>
      <c r="F154" s="66"/>
      <c r="G154" s="64"/>
      <c r="H154" s="64"/>
      <c r="I154" s="157">
        <f>IF(A154="","",SUMIF($D$3:$D$154,"Inflow",$F$3:$F$154)-SUMIF($D$3:$D$154,"Outflow",$F$3:$F$154)+SUM(Bank_Accounts!$E$3:$E$22))</f>
      </c>
      <c r="J154" s="156"/>
      <c r="K154" s="64"/>
    </row>
    <row r="155" spans="1:11" x14ac:dyDescent="0.25">
      <c r="A155" s="65"/>
      <c r="B155" s="64"/>
      <c r="C155" s="64"/>
      <c r="D155" s="64"/>
      <c r="E155" s="64"/>
      <c r="F155" s="66"/>
      <c r="G155" s="64"/>
      <c r="H155" s="64"/>
      <c r="I155" s="157">
        <f>IF(A155="","",SUMIF($D$3:$D$155,"Inflow",$F$3:$F$155)-SUMIF($D$3:$D$155,"Outflow",$F$3:$F$155)+SUM(Bank_Accounts!$E$3:$E$22))</f>
      </c>
      <c r="J155" s="156"/>
      <c r="K155" s="64"/>
    </row>
    <row r="156" spans="1:11" x14ac:dyDescent="0.25">
      <c r="A156" s="65"/>
      <c r="B156" s="64"/>
      <c r="C156" s="64"/>
      <c r="D156" s="64"/>
      <c r="E156" s="64"/>
      <c r="F156" s="66"/>
      <c r="G156" s="64"/>
      <c r="H156" s="64"/>
      <c r="I156" s="157">
        <f>IF(A156="","",SUMIF($D$3:$D$156,"Inflow",$F$3:$F$156)-SUMIF($D$3:$D$156,"Outflow",$F$3:$F$156)+SUM(Bank_Accounts!$E$3:$E$22))</f>
      </c>
      <c r="J156" s="156"/>
      <c r="K156" s="64"/>
    </row>
    <row r="157" spans="1:11" x14ac:dyDescent="0.25">
      <c r="A157" s="65"/>
      <c r="B157" s="64"/>
      <c r="C157" s="64"/>
      <c r="D157" s="64"/>
      <c r="E157" s="64"/>
      <c r="F157" s="66"/>
      <c r="G157" s="64"/>
      <c r="H157" s="64"/>
      <c r="I157" s="157">
        <f>IF(A157="","",SUMIF($D$3:$D$157,"Inflow",$F$3:$F$157)-SUMIF($D$3:$D$157,"Outflow",$F$3:$F$157)+SUM(Bank_Accounts!$E$3:$E$22))</f>
      </c>
      <c r="J157" s="156"/>
      <c r="K157" s="64"/>
    </row>
    <row r="158" spans="1:11" x14ac:dyDescent="0.25">
      <c r="A158" s="65"/>
      <c r="B158" s="64"/>
      <c r="C158" s="64"/>
      <c r="D158" s="64"/>
      <c r="E158" s="64"/>
      <c r="F158" s="66"/>
      <c r="G158" s="64"/>
      <c r="H158" s="64"/>
      <c r="I158" s="157">
        <f>IF(A158="","",SUMIF($D$3:$D$158,"Inflow",$F$3:$F$158)-SUMIF($D$3:$D$158,"Outflow",$F$3:$F$158)+SUM(Bank_Accounts!$E$3:$E$22))</f>
      </c>
      <c r="J158" s="156"/>
      <c r="K158" s="64"/>
    </row>
    <row r="159" spans="1:11" x14ac:dyDescent="0.25">
      <c r="A159" s="65"/>
      <c r="B159" s="64"/>
      <c r="C159" s="64"/>
      <c r="D159" s="64"/>
      <c r="E159" s="64"/>
      <c r="F159" s="66"/>
      <c r="G159" s="64"/>
      <c r="H159" s="64"/>
      <c r="I159" s="157">
        <f>IF(A159="","",SUMIF($D$3:$D$159,"Inflow",$F$3:$F$159)-SUMIF($D$3:$D$159,"Outflow",$F$3:$F$159)+SUM(Bank_Accounts!$E$3:$E$22))</f>
      </c>
      <c r="J159" s="156"/>
      <c r="K159" s="64"/>
    </row>
    <row r="160" spans="1:11" x14ac:dyDescent="0.25">
      <c r="A160" s="65"/>
      <c r="B160" s="64"/>
      <c r="C160" s="64"/>
      <c r="D160" s="64"/>
      <c r="E160" s="64"/>
      <c r="F160" s="66"/>
      <c r="G160" s="64"/>
      <c r="H160" s="64"/>
      <c r="I160" s="157">
        <f>IF(A160="","",SUMIF($D$3:$D$160,"Inflow",$F$3:$F$160)-SUMIF($D$3:$D$160,"Outflow",$F$3:$F$160)+SUM(Bank_Accounts!$E$3:$E$22))</f>
      </c>
      <c r="J160" s="156"/>
      <c r="K160" s="64"/>
    </row>
    <row r="161" spans="1:11" x14ac:dyDescent="0.25">
      <c r="A161" s="65"/>
      <c r="B161" s="64"/>
      <c r="C161" s="64"/>
      <c r="D161" s="64"/>
      <c r="E161" s="64"/>
      <c r="F161" s="66"/>
      <c r="G161" s="64"/>
      <c r="H161" s="64"/>
      <c r="I161" s="157">
        <f>IF(A161="","",SUMIF($D$3:$D$161,"Inflow",$F$3:$F$161)-SUMIF($D$3:$D$161,"Outflow",$F$3:$F$161)+SUM(Bank_Accounts!$E$3:$E$22))</f>
      </c>
      <c r="J161" s="156"/>
      <c r="K161" s="64"/>
    </row>
    <row r="162" spans="1:11" x14ac:dyDescent="0.25">
      <c r="A162" s="65"/>
      <c r="B162" s="64"/>
      <c r="C162" s="64"/>
      <c r="D162" s="64"/>
      <c r="E162" s="64"/>
      <c r="F162" s="66"/>
      <c r="G162" s="64"/>
      <c r="H162" s="64"/>
      <c r="I162" s="157">
        <f>IF(A162="","",SUMIF($D$3:$D$162,"Inflow",$F$3:$F$162)-SUMIF($D$3:$D$162,"Outflow",$F$3:$F$162)+SUM(Bank_Accounts!$E$3:$E$22))</f>
      </c>
      <c r="J162" s="156"/>
      <c r="K162" s="64"/>
    </row>
    <row r="163" spans="1:11" x14ac:dyDescent="0.25">
      <c r="A163" s="65"/>
      <c r="B163" s="64"/>
      <c r="C163" s="64"/>
      <c r="D163" s="64"/>
      <c r="E163" s="64"/>
      <c r="F163" s="66"/>
      <c r="G163" s="64"/>
      <c r="H163" s="64"/>
      <c r="I163" s="157">
        <f>IF(A163="","",SUMIF($D$3:$D$163,"Inflow",$F$3:$F$163)-SUMIF($D$3:$D$163,"Outflow",$F$3:$F$163)+SUM(Bank_Accounts!$E$3:$E$22))</f>
      </c>
      <c r="J163" s="156"/>
      <c r="K163" s="64"/>
    </row>
    <row r="164" spans="1:11" x14ac:dyDescent="0.25">
      <c r="A164" s="65"/>
      <c r="B164" s="64"/>
      <c r="C164" s="64"/>
      <c r="D164" s="64"/>
      <c r="E164" s="64"/>
      <c r="F164" s="66"/>
      <c r="G164" s="64"/>
      <c r="H164" s="64"/>
      <c r="I164" s="157">
        <f>IF(A164="","",SUMIF($D$3:$D$164,"Inflow",$F$3:$F$164)-SUMIF($D$3:$D$164,"Outflow",$F$3:$F$164)+SUM(Bank_Accounts!$E$3:$E$22))</f>
      </c>
      <c r="J164" s="156"/>
      <c r="K164" s="64"/>
    </row>
    <row r="165" spans="1:11" x14ac:dyDescent="0.25">
      <c r="A165" s="65"/>
      <c r="B165" s="64"/>
      <c r="C165" s="64"/>
      <c r="D165" s="64"/>
      <c r="E165" s="64"/>
      <c r="F165" s="66"/>
      <c r="G165" s="64"/>
      <c r="H165" s="64"/>
      <c r="I165" s="157">
        <f>IF(A165="","",SUMIF($D$3:$D$165,"Inflow",$F$3:$F$165)-SUMIF($D$3:$D$165,"Outflow",$F$3:$F$165)+SUM(Bank_Accounts!$E$3:$E$22))</f>
      </c>
      <c r="J165" s="156"/>
      <c r="K165" s="64"/>
    </row>
    <row r="166" spans="1:11" x14ac:dyDescent="0.25">
      <c r="A166" s="65"/>
      <c r="B166" s="64"/>
      <c r="C166" s="64"/>
      <c r="D166" s="64"/>
      <c r="E166" s="64"/>
      <c r="F166" s="66"/>
      <c r="G166" s="64"/>
      <c r="H166" s="64"/>
      <c r="I166" s="157">
        <f>IF(A166="","",SUMIF($D$3:$D$166,"Inflow",$F$3:$F$166)-SUMIF($D$3:$D$166,"Outflow",$F$3:$F$166)+SUM(Bank_Accounts!$E$3:$E$22))</f>
      </c>
      <c r="J166" s="156"/>
      <c r="K166" s="64"/>
    </row>
    <row r="167" spans="1:11" x14ac:dyDescent="0.25">
      <c r="A167" s="65"/>
      <c r="B167" s="64"/>
      <c r="C167" s="64"/>
      <c r="D167" s="64"/>
      <c r="E167" s="64"/>
      <c r="F167" s="66"/>
      <c r="G167" s="64"/>
      <c r="H167" s="64"/>
      <c r="I167" s="157">
        <f>IF(A167="","",SUMIF($D$3:$D$167,"Inflow",$F$3:$F$167)-SUMIF($D$3:$D$167,"Outflow",$F$3:$F$167)+SUM(Bank_Accounts!$E$3:$E$22))</f>
      </c>
      <c r="J167" s="156"/>
      <c r="K167" s="64"/>
    </row>
    <row r="168" spans="1:11" x14ac:dyDescent="0.25">
      <c r="A168" s="65"/>
      <c r="B168" s="64"/>
      <c r="C168" s="64"/>
      <c r="D168" s="64"/>
      <c r="E168" s="64"/>
      <c r="F168" s="66"/>
      <c r="G168" s="64"/>
      <c r="H168" s="64"/>
      <c r="I168" s="157">
        <f>IF(A168="","",SUMIF($D$3:$D$168,"Inflow",$F$3:$F$168)-SUMIF($D$3:$D$168,"Outflow",$F$3:$F$168)+SUM(Bank_Accounts!$E$3:$E$22))</f>
      </c>
      <c r="J168" s="156"/>
      <c r="K168" s="64"/>
    </row>
    <row r="169" spans="1:11" x14ac:dyDescent="0.25">
      <c r="A169" s="65"/>
      <c r="B169" s="64"/>
      <c r="C169" s="64"/>
      <c r="D169" s="64"/>
      <c r="E169" s="64"/>
      <c r="F169" s="66"/>
      <c r="G169" s="64"/>
      <c r="H169" s="64"/>
      <c r="I169" s="157">
        <f>IF(A169="","",SUMIF($D$3:$D$169,"Inflow",$F$3:$F$169)-SUMIF($D$3:$D$169,"Outflow",$F$3:$F$169)+SUM(Bank_Accounts!$E$3:$E$22))</f>
      </c>
      <c r="J169" s="156"/>
      <c r="K169" s="64"/>
    </row>
    <row r="170" spans="1:11" x14ac:dyDescent="0.25">
      <c r="A170" s="65"/>
      <c r="B170" s="64"/>
      <c r="C170" s="64"/>
      <c r="D170" s="64"/>
      <c r="E170" s="64"/>
      <c r="F170" s="66"/>
      <c r="G170" s="64"/>
      <c r="H170" s="64"/>
      <c r="I170" s="157">
        <f>IF(A170="","",SUMIF($D$3:$D$170,"Inflow",$F$3:$F$170)-SUMIF($D$3:$D$170,"Outflow",$F$3:$F$170)+SUM(Bank_Accounts!$E$3:$E$22))</f>
      </c>
      <c r="J170" s="156"/>
      <c r="K170" s="64"/>
    </row>
    <row r="171" spans="1:11" x14ac:dyDescent="0.25">
      <c r="A171" s="65"/>
      <c r="B171" s="64"/>
      <c r="C171" s="64"/>
      <c r="D171" s="64"/>
      <c r="E171" s="64"/>
      <c r="F171" s="66"/>
      <c r="G171" s="64"/>
      <c r="H171" s="64"/>
      <c r="I171" s="157">
        <f>IF(A171="","",SUMIF($D$3:$D$171,"Inflow",$F$3:$F$171)-SUMIF($D$3:$D$171,"Outflow",$F$3:$F$171)+SUM(Bank_Accounts!$E$3:$E$22))</f>
      </c>
      <c r="J171" s="156"/>
      <c r="K171" s="64"/>
    </row>
    <row r="172" spans="1:11" x14ac:dyDescent="0.25">
      <c r="A172" s="65"/>
      <c r="B172" s="64"/>
      <c r="C172" s="64"/>
      <c r="D172" s="64"/>
      <c r="E172" s="64"/>
      <c r="F172" s="66"/>
      <c r="G172" s="64"/>
      <c r="H172" s="64"/>
      <c r="I172" s="157">
        <f>IF(A172="","",SUMIF($D$3:$D$172,"Inflow",$F$3:$F$172)-SUMIF($D$3:$D$172,"Outflow",$F$3:$F$172)+SUM(Bank_Accounts!$E$3:$E$22))</f>
      </c>
      <c r="J172" s="156"/>
      <c r="K172" s="64"/>
    </row>
    <row r="173" spans="1:11" x14ac:dyDescent="0.25">
      <c r="A173" s="65"/>
      <c r="B173" s="64"/>
      <c r="C173" s="64"/>
      <c r="D173" s="64"/>
      <c r="E173" s="64"/>
      <c r="F173" s="66"/>
      <c r="G173" s="64"/>
      <c r="H173" s="64"/>
      <c r="I173" s="157">
        <f>IF(A173="","",SUMIF($D$3:$D$173,"Inflow",$F$3:$F$173)-SUMIF($D$3:$D$173,"Outflow",$F$3:$F$173)+SUM(Bank_Accounts!$E$3:$E$22))</f>
      </c>
      <c r="J173" s="156"/>
      <c r="K173" s="64"/>
    </row>
    <row r="174" spans="1:11" x14ac:dyDescent="0.25">
      <c r="A174" s="65"/>
      <c r="B174" s="64"/>
      <c r="C174" s="64"/>
      <c r="D174" s="64"/>
      <c r="E174" s="64"/>
      <c r="F174" s="66"/>
      <c r="G174" s="64"/>
      <c r="H174" s="64"/>
      <c r="I174" s="157">
        <f>IF(A174="","",SUMIF($D$3:$D$174,"Inflow",$F$3:$F$174)-SUMIF($D$3:$D$174,"Outflow",$F$3:$F$174)+SUM(Bank_Accounts!$E$3:$E$22))</f>
      </c>
      <c r="J174" s="156"/>
      <c r="K174" s="64"/>
    </row>
    <row r="175" spans="1:11" x14ac:dyDescent="0.25">
      <c r="A175" s="65"/>
      <c r="B175" s="64"/>
      <c r="C175" s="64"/>
      <c r="D175" s="64"/>
      <c r="E175" s="64"/>
      <c r="F175" s="66"/>
      <c r="G175" s="64"/>
      <c r="H175" s="64"/>
      <c r="I175" s="157">
        <f>IF(A175="","",SUMIF($D$3:$D$175,"Inflow",$F$3:$F$175)-SUMIF($D$3:$D$175,"Outflow",$F$3:$F$175)+SUM(Bank_Accounts!$E$3:$E$22))</f>
      </c>
      <c r="J175" s="156"/>
      <c r="K175" s="64"/>
    </row>
    <row r="176" spans="1:11" x14ac:dyDescent="0.25">
      <c r="A176" s="65"/>
      <c r="B176" s="64"/>
      <c r="C176" s="64"/>
      <c r="D176" s="64"/>
      <c r="E176" s="64"/>
      <c r="F176" s="66"/>
      <c r="G176" s="64"/>
      <c r="H176" s="64"/>
      <c r="I176" s="157">
        <f>IF(A176="","",SUMIF($D$3:$D$176,"Inflow",$F$3:$F$176)-SUMIF($D$3:$D$176,"Outflow",$F$3:$F$176)+SUM(Bank_Accounts!$E$3:$E$22))</f>
      </c>
      <c r="J176" s="156"/>
      <c r="K176" s="64"/>
    </row>
    <row r="177" spans="1:11" x14ac:dyDescent="0.25">
      <c r="A177" s="65"/>
      <c r="B177" s="64"/>
      <c r="C177" s="64"/>
      <c r="D177" s="64"/>
      <c r="E177" s="64"/>
      <c r="F177" s="66"/>
      <c r="G177" s="64"/>
      <c r="H177" s="64"/>
      <c r="I177" s="157">
        <f>IF(A177="","",SUMIF($D$3:$D$177,"Inflow",$F$3:$F$177)-SUMIF($D$3:$D$177,"Outflow",$F$3:$F$177)+SUM(Bank_Accounts!$E$3:$E$22))</f>
      </c>
      <c r="J177" s="156"/>
      <c r="K177" s="64"/>
    </row>
    <row r="178" spans="1:11" x14ac:dyDescent="0.25">
      <c r="A178" s="65"/>
      <c r="B178" s="64"/>
      <c r="C178" s="64"/>
      <c r="D178" s="64"/>
      <c r="E178" s="64"/>
      <c r="F178" s="66"/>
      <c r="G178" s="64"/>
      <c r="H178" s="64"/>
      <c r="I178" s="157">
        <f>IF(A178="","",SUMIF($D$3:$D$178,"Inflow",$F$3:$F$178)-SUMIF($D$3:$D$178,"Outflow",$F$3:$F$178)+SUM(Bank_Accounts!$E$3:$E$22))</f>
      </c>
      <c r="J178" s="156"/>
      <c r="K178" s="64"/>
    </row>
    <row r="179" spans="1:11" x14ac:dyDescent="0.25">
      <c r="A179" s="65"/>
      <c r="B179" s="64"/>
      <c r="C179" s="64"/>
      <c r="D179" s="64"/>
      <c r="E179" s="64"/>
      <c r="F179" s="66"/>
      <c r="G179" s="64"/>
      <c r="H179" s="64"/>
      <c r="I179" s="157">
        <f>IF(A179="","",SUMIF($D$3:$D$179,"Inflow",$F$3:$F$179)-SUMIF($D$3:$D$179,"Outflow",$F$3:$F$179)+SUM(Bank_Accounts!$E$3:$E$22))</f>
      </c>
      <c r="J179" s="156"/>
      <c r="K179" s="64"/>
    </row>
    <row r="180" spans="1:11" x14ac:dyDescent="0.25">
      <c r="A180" s="65"/>
      <c r="B180" s="64"/>
      <c r="C180" s="64"/>
      <c r="D180" s="64"/>
      <c r="E180" s="64"/>
      <c r="F180" s="66"/>
      <c r="G180" s="64"/>
      <c r="H180" s="64"/>
      <c r="I180" s="157">
        <f>IF(A180="","",SUMIF($D$3:$D$180,"Inflow",$F$3:$F$180)-SUMIF($D$3:$D$180,"Outflow",$F$3:$F$180)+SUM(Bank_Accounts!$E$3:$E$22))</f>
      </c>
      <c r="J180" s="156"/>
      <c r="K180" s="64"/>
    </row>
    <row r="181" spans="1:11" x14ac:dyDescent="0.25">
      <c r="A181" s="65"/>
      <c r="B181" s="64"/>
      <c r="C181" s="64"/>
      <c r="D181" s="64"/>
      <c r="E181" s="64"/>
      <c r="F181" s="66"/>
      <c r="G181" s="64"/>
      <c r="H181" s="64"/>
      <c r="I181" s="157">
        <f>IF(A181="","",SUMIF($D$3:$D$181,"Inflow",$F$3:$F$181)-SUMIF($D$3:$D$181,"Outflow",$F$3:$F$181)+SUM(Bank_Accounts!$E$3:$E$22))</f>
      </c>
      <c r="J181" s="156"/>
      <c r="K181" s="64"/>
    </row>
    <row r="182" spans="1:11" x14ac:dyDescent="0.25">
      <c r="A182" s="65"/>
      <c r="B182" s="64"/>
      <c r="C182" s="64"/>
      <c r="D182" s="64"/>
      <c r="E182" s="64"/>
      <c r="F182" s="66"/>
      <c r="G182" s="64"/>
      <c r="H182" s="64"/>
      <c r="I182" s="157">
        <f>IF(A182="","",SUMIF($D$3:$D$182,"Inflow",$F$3:$F$182)-SUMIF($D$3:$D$182,"Outflow",$F$3:$F$182)+SUM(Bank_Accounts!$E$3:$E$22))</f>
      </c>
      <c r="J182" s="156"/>
      <c r="K182" s="64"/>
    </row>
    <row r="183" spans="1:11" x14ac:dyDescent="0.25">
      <c r="A183" s="65"/>
      <c r="B183" s="64"/>
      <c r="C183" s="64"/>
      <c r="D183" s="64"/>
      <c r="E183" s="64"/>
      <c r="F183" s="66"/>
      <c r="G183" s="64"/>
      <c r="H183" s="64"/>
      <c r="I183" s="157">
        <f>IF(A183="","",SUMIF($D$3:$D$183,"Inflow",$F$3:$F$183)-SUMIF($D$3:$D$183,"Outflow",$F$3:$F$183)+SUM(Bank_Accounts!$E$3:$E$22))</f>
      </c>
      <c r="J183" s="156"/>
      <c r="K183" s="64"/>
    </row>
    <row r="184" spans="1:11" x14ac:dyDescent="0.25">
      <c r="A184" s="65"/>
      <c r="B184" s="64"/>
      <c r="C184" s="64"/>
      <c r="D184" s="64"/>
      <c r="E184" s="64"/>
      <c r="F184" s="66"/>
      <c r="G184" s="64"/>
      <c r="H184" s="64"/>
      <c r="I184" s="157">
        <f>IF(A184="","",SUMIF($D$3:$D$184,"Inflow",$F$3:$F$184)-SUMIF($D$3:$D$184,"Outflow",$F$3:$F$184)+SUM(Bank_Accounts!$E$3:$E$22))</f>
      </c>
      <c r="J184" s="156"/>
      <c r="K184" s="64"/>
    </row>
    <row r="185" spans="1:11" x14ac:dyDescent="0.25">
      <c r="A185" s="65"/>
      <c r="B185" s="64"/>
      <c r="C185" s="64"/>
      <c r="D185" s="64"/>
      <c r="E185" s="64"/>
      <c r="F185" s="66"/>
      <c r="G185" s="64"/>
      <c r="H185" s="64"/>
      <c r="I185" s="157">
        <f>IF(A185="","",SUMIF($D$3:$D$185,"Inflow",$F$3:$F$185)-SUMIF($D$3:$D$185,"Outflow",$F$3:$F$185)+SUM(Bank_Accounts!$E$3:$E$22))</f>
      </c>
      <c r="J185" s="156"/>
      <c r="K185" s="64"/>
    </row>
    <row r="186" spans="1:11" x14ac:dyDescent="0.25">
      <c r="A186" s="65"/>
      <c r="B186" s="64"/>
      <c r="C186" s="64"/>
      <c r="D186" s="64"/>
      <c r="E186" s="64"/>
      <c r="F186" s="66"/>
      <c r="G186" s="64"/>
      <c r="H186" s="64"/>
      <c r="I186" s="157">
        <f>IF(A186="","",SUMIF($D$3:$D$186,"Inflow",$F$3:$F$186)-SUMIF($D$3:$D$186,"Outflow",$F$3:$F$186)+SUM(Bank_Accounts!$E$3:$E$22))</f>
      </c>
      <c r="J186" s="156"/>
      <c r="K186" s="64"/>
    </row>
    <row r="187" spans="1:11" x14ac:dyDescent="0.25">
      <c r="A187" s="65"/>
      <c r="B187" s="64"/>
      <c r="C187" s="64"/>
      <c r="D187" s="64"/>
      <c r="E187" s="64"/>
      <c r="F187" s="66"/>
      <c r="G187" s="64"/>
      <c r="H187" s="64"/>
      <c r="I187" s="157">
        <f>IF(A187="","",SUMIF($D$3:$D$187,"Inflow",$F$3:$F$187)-SUMIF($D$3:$D$187,"Outflow",$F$3:$F$187)+SUM(Bank_Accounts!$E$3:$E$22))</f>
      </c>
      <c r="J187" s="156"/>
      <c r="K187" s="64"/>
    </row>
    <row r="188" spans="1:11" x14ac:dyDescent="0.25">
      <c r="A188" s="65"/>
      <c r="B188" s="64"/>
      <c r="C188" s="64"/>
      <c r="D188" s="64"/>
      <c r="E188" s="64"/>
      <c r="F188" s="66"/>
      <c r="G188" s="64"/>
      <c r="H188" s="64"/>
      <c r="I188" s="157">
        <f>IF(A188="","",SUMIF($D$3:$D$188,"Inflow",$F$3:$F$188)-SUMIF($D$3:$D$188,"Outflow",$F$3:$F$188)+SUM(Bank_Accounts!$E$3:$E$22))</f>
      </c>
      <c r="J188" s="156"/>
      <c r="K188" s="64"/>
    </row>
    <row r="189" spans="1:11" x14ac:dyDescent="0.25">
      <c r="A189" s="65"/>
      <c r="B189" s="64"/>
      <c r="C189" s="64"/>
      <c r="D189" s="64"/>
      <c r="E189" s="64"/>
      <c r="F189" s="66"/>
      <c r="G189" s="64"/>
      <c r="H189" s="64"/>
      <c r="I189" s="157">
        <f>IF(A189="","",SUMIF($D$3:$D$189,"Inflow",$F$3:$F$189)-SUMIF($D$3:$D$189,"Outflow",$F$3:$F$189)+SUM(Bank_Accounts!$E$3:$E$22))</f>
      </c>
      <c r="J189" s="156"/>
      <c r="K189" s="64"/>
    </row>
    <row r="190" spans="1:11" x14ac:dyDescent="0.25">
      <c r="A190" s="65"/>
      <c r="B190" s="64"/>
      <c r="C190" s="64"/>
      <c r="D190" s="64"/>
      <c r="E190" s="64"/>
      <c r="F190" s="66"/>
      <c r="G190" s="64"/>
      <c r="H190" s="64"/>
      <c r="I190" s="157">
        <f>IF(A190="","",SUMIF($D$3:$D$190,"Inflow",$F$3:$F$190)-SUMIF($D$3:$D$190,"Outflow",$F$3:$F$190)+SUM(Bank_Accounts!$E$3:$E$22))</f>
      </c>
      <c r="J190" s="156"/>
      <c r="K190" s="64"/>
    </row>
    <row r="191" spans="1:11" x14ac:dyDescent="0.25">
      <c r="A191" s="65"/>
      <c r="B191" s="64"/>
      <c r="C191" s="64"/>
      <c r="D191" s="64"/>
      <c r="E191" s="64"/>
      <c r="F191" s="66"/>
      <c r="G191" s="64"/>
      <c r="H191" s="64"/>
      <c r="I191" s="157">
        <f>IF(A191="","",SUMIF($D$3:$D$191,"Inflow",$F$3:$F$191)-SUMIF($D$3:$D$191,"Outflow",$F$3:$F$191)+SUM(Bank_Accounts!$E$3:$E$22))</f>
      </c>
      <c r="J191" s="156"/>
      <c r="K191" s="64"/>
    </row>
    <row r="192" spans="1:11" x14ac:dyDescent="0.25">
      <c r="A192" s="65"/>
      <c r="B192" s="64"/>
      <c r="C192" s="64"/>
      <c r="D192" s="64"/>
      <c r="E192" s="64"/>
      <c r="F192" s="66"/>
      <c r="G192" s="64"/>
      <c r="H192" s="64"/>
      <c r="I192" s="157">
        <f>IF(A192="","",SUMIF($D$3:$D$192,"Inflow",$F$3:$F$192)-SUMIF($D$3:$D$192,"Outflow",$F$3:$F$192)+SUM(Bank_Accounts!$E$3:$E$22))</f>
      </c>
      <c r="J192" s="156"/>
      <c r="K192" s="64"/>
    </row>
    <row r="193" spans="1:11" x14ac:dyDescent="0.25">
      <c r="A193" s="65"/>
      <c r="B193" s="64"/>
      <c r="C193" s="64"/>
      <c r="D193" s="64"/>
      <c r="E193" s="64"/>
      <c r="F193" s="66"/>
      <c r="G193" s="64"/>
      <c r="H193" s="64"/>
      <c r="I193" s="157">
        <f>IF(A193="","",SUMIF($D$3:$D$193,"Inflow",$F$3:$F$193)-SUMIF($D$3:$D$193,"Outflow",$F$3:$F$193)+SUM(Bank_Accounts!$E$3:$E$22))</f>
      </c>
      <c r="J193" s="156"/>
      <c r="K193" s="64"/>
    </row>
    <row r="194" spans="1:11" x14ac:dyDescent="0.25">
      <c r="A194" s="65"/>
      <c r="B194" s="64"/>
      <c r="C194" s="64"/>
      <c r="D194" s="64"/>
      <c r="E194" s="64"/>
      <c r="F194" s="66"/>
      <c r="G194" s="64"/>
      <c r="H194" s="64"/>
      <c r="I194" s="157">
        <f>IF(A194="","",SUMIF($D$3:$D$194,"Inflow",$F$3:$F$194)-SUMIF($D$3:$D$194,"Outflow",$F$3:$F$194)+SUM(Bank_Accounts!$E$3:$E$22))</f>
      </c>
      <c r="J194" s="156"/>
      <c r="K194" s="64"/>
    </row>
    <row r="195" spans="1:11" x14ac:dyDescent="0.25">
      <c r="A195" s="65"/>
      <c r="B195" s="64"/>
      <c r="C195" s="64"/>
      <c r="D195" s="64"/>
      <c r="E195" s="64"/>
      <c r="F195" s="66"/>
      <c r="G195" s="64"/>
      <c r="H195" s="64"/>
      <c r="I195" s="157">
        <f>IF(A195="","",SUMIF($D$3:$D$195,"Inflow",$F$3:$F$195)-SUMIF($D$3:$D$195,"Outflow",$F$3:$F$195)+SUM(Bank_Accounts!$E$3:$E$22))</f>
      </c>
      <c r="J195" s="156"/>
      <c r="K195" s="64"/>
    </row>
    <row r="196" spans="1:11" x14ac:dyDescent="0.25">
      <c r="A196" s="65"/>
      <c r="B196" s="64"/>
      <c r="C196" s="64"/>
      <c r="D196" s="64"/>
      <c r="E196" s="64"/>
      <c r="F196" s="66"/>
      <c r="G196" s="64"/>
      <c r="H196" s="64"/>
      <c r="I196" s="157">
        <f>IF(A196="","",SUMIF($D$3:$D$196,"Inflow",$F$3:$F$196)-SUMIF($D$3:$D$196,"Outflow",$F$3:$F$196)+SUM(Bank_Accounts!$E$3:$E$22))</f>
      </c>
      <c r="J196" s="156"/>
      <c r="K196" s="64"/>
    </row>
    <row r="197" spans="1:11" x14ac:dyDescent="0.25">
      <c r="A197" s="65"/>
      <c r="B197" s="64"/>
      <c r="C197" s="64"/>
      <c r="D197" s="64"/>
      <c r="E197" s="64"/>
      <c r="F197" s="66"/>
      <c r="G197" s="64"/>
      <c r="H197" s="64"/>
      <c r="I197" s="157">
        <f>IF(A197="","",SUMIF($D$3:$D$197,"Inflow",$F$3:$F$197)-SUMIF($D$3:$D$197,"Outflow",$F$3:$F$197)+SUM(Bank_Accounts!$E$3:$E$22))</f>
      </c>
      <c r="J197" s="156"/>
      <c r="K197" s="64"/>
    </row>
    <row r="198" spans="1:11" x14ac:dyDescent="0.25">
      <c r="A198" s="65"/>
      <c r="B198" s="64"/>
      <c r="C198" s="64"/>
      <c r="D198" s="64"/>
      <c r="E198" s="64"/>
      <c r="F198" s="66"/>
      <c r="G198" s="64"/>
      <c r="H198" s="64"/>
      <c r="I198" s="157">
        <f>IF(A198="","",SUMIF($D$3:$D$198,"Inflow",$F$3:$F$198)-SUMIF($D$3:$D$198,"Outflow",$F$3:$F$198)+SUM(Bank_Accounts!$E$3:$E$22))</f>
      </c>
      <c r="J198" s="156"/>
      <c r="K198" s="64"/>
    </row>
    <row r="199" spans="1:11" x14ac:dyDescent="0.25">
      <c r="A199" s="65"/>
      <c r="B199" s="64"/>
      <c r="C199" s="64"/>
      <c r="D199" s="64"/>
      <c r="E199" s="64"/>
      <c r="F199" s="66"/>
      <c r="G199" s="64"/>
      <c r="H199" s="64"/>
      <c r="I199" s="157">
        <f>IF(A199="","",SUMIF($D$3:$D$199,"Inflow",$F$3:$F$199)-SUMIF($D$3:$D$199,"Outflow",$F$3:$F$199)+SUM(Bank_Accounts!$E$3:$E$22))</f>
      </c>
      <c r="J199" s="156"/>
      <c r="K199" s="64"/>
    </row>
    <row r="200" spans="1:11" x14ac:dyDescent="0.25">
      <c r="A200" s="65"/>
      <c r="B200" s="64"/>
      <c r="C200" s="64"/>
      <c r="D200" s="64"/>
      <c r="E200" s="64"/>
      <c r="F200" s="66"/>
      <c r="G200" s="64"/>
      <c r="H200" s="64"/>
      <c r="I200" s="157">
        <f>IF(A200="","",SUMIF($D$3:$D$200,"Inflow",$F$3:$F$200)-SUMIF($D$3:$D$200,"Outflow",$F$3:$F$200)+SUM(Bank_Accounts!$E$3:$E$22))</f>
      </c>
      <c r="J200" s="156"/>
      <c r="K200" s="64"/>
    </row>
    <row r="201" spans="1:11" x14ac:dyDescent="0.25">
      <c r="A201" s="65"/>
      <c r="B201" s="64"/>
      <c r="C201" s="64"/>
      <c r="D201" s="64"/>
      <c r="E201" s="64"/>
      <c r="F201" s="66"/>
      <c r="G201" s="64"/>
      <c r="H201" s="64"/>
      <c r="I201" s="157">
        <f>IF(A201="","",SUMIF($D$3:$D$201,"Inflow",$F$3:$F$201)-SUMIF($D$3:$D$201,"Outflow",$F$3:$F$201)+SUM(Bank_Accounts!$E$3:$E$22))</f>
      </c>
      <c r="J201" s="156"/>
      <c r="K201" s="64"/>
    </row>
    <row r="202" spans="1:11" x14ac:dyDescent="0.25">
      <c r="A202" s="65"/>
      <c r="B202" s="64"/>
      <c r="C202" s="64"/>
      <c r="D202" s="64"/>
      <c r="E202" s="64"/>
      <c r="F202" s="66"/>
      <c r="G202" s="64"/>
      <c r="H202" s="64"/>
      <c r="I202" s="157">
        <f>IF(A202="","",SUMIF($D$3:$D$202,"Inflow",$F$3:$F$202)-SUMIF($D$3:$D$202,"Outflow",$F$3:$F$202)+SUM(Bank_Accounts!$E$3:$E$22))</f>
      </c>
      <c r="J202" s="156"/>
      <c r="K202" s="64"/>
    </row>
    <row r="203" spans="1:11" x14ac:dyDescent="0.25">
      <c r="A203" s="65"/>
      <c r="B203" s="64"/>
      <c r="C203" s="64"/>
      <c r="D203" s="64"/>
      <c r="E203" s="64"/>
      <c r="F203" s="66"/>
      <c r="G203" s="64"/>
      <c r="H203" s="64"/>
      <c r="I203" s="157">
        <f>IF(A203="","",SUMIF($D$3:$D$203,"Inflow",$F$3:$F$203)-SUMIF($D$3:$D$203,"Outflow",$F$3:$F$203)+SUM(Bank_Accounts!$E$3:$E$22))</f>
      </c>
      <c r="J203" s="156"/>
      <c r="K203" s="64"/>
    </row>
    <row r="204" spans="1:11" x14ac:dyDescent="0.25">
      <c r="A204" s="65"/>
      <c r="B204" s="64"/>
      <c r="C204" s="64"/>
      <c r="D204" s="64"/>
      <c r="E204" s="64"/>
      <c r="F204" s="66"/>
      <c r="G204" s="64"/>
      <c r="H204" s="64"/>
      <c r="I204" s="157">
        <f>IF(A204="","",SUMIF($D$3:$D$204,"Inflow",$F$3:$F$204)-SUMIF($D$3:$D$204,"Outflow",$F$3:$F$204)+SUM(Bank_Accounts!$E$3:$E$22))</f>
      </c>
      <c r="J204" s="156"/>
      <c r="K204" s="64"/>
    </row>
    <row r="205" spans="1:11" x14ac:dyDescent="0.25">
      <c r="A205" s="65"/>
      <c r="B205" s="64"/>
      <c r="C205" s="64"/>
      <c r="D205" s="64"/>
      <c r="E205" s="64"/>
      <c r="F205" s="66"/>
      <c r="G205" s="64"/>
      <c r="H205" s="64"/>
      <c r="I205" s="157">
        <f>IF(A205="","",SUMIF($D$3:$D$205,"Inflow",$F$3:$F$205)-SUMIF($D$3:$D$205,"Outflow",$F$3:$F$205)+SUM(Bank_Accounts!$E$3:$E$22))</f>
      </c>
      <c r="J205" s="156"/>
      <c r="K205" s="64"/>
    </row>
    <row r="206" spans="1:11" x14ac:dyDescent="0.25">
      <c r="A206" s="65"/>
      <c r="B206" s="64"/>
      <c r="C206" s="64"/>
      <c r="D206" s="64"/>
      <c r="E206" s="64"/>
      <c r="F206" s="66"/>
      <c r="G206" s="64"/>
      <c r="H206" s="64"/>
      <c r="I206" s="157">
        <f>IF(A206="","",SUMIF($D$3:$D$206,"Inflow",$F$3:$F$206)-SUMIF($D$3:$D$206,"Outflow",$F$3:$F$206)+SUM(Bank_Accounts!$E$3:$E$22))</f>
      </c>
      <c r="J206" s="156"/>
      <c r="K206" s="64"/>
    </row>
    <row r="207" spans="1:11" x14ac:dyDescent="0.25">
      <c r="A207" s="65"/>
      <c r="B207" s="64"/>
      <c r="C207" s="64"/>
      <c r="D207" s="64"/>
      <c r="E207" s="64"/>
      <c r="F207" s="66"/>
      <c r="G207" s="64"/>
      <c r="H207" s="64"/>
      <c r="I207" s="157">
        <f>IF(A207="","",SUMIF($D$3:$D$207,"Inflow",$F$3:$F$207)-SUMIF($D$3:$D$207,"Outflow",$F$3:$F$207)+SUM(Bank_Accounts!$E$3:$E$22))</f>
      </c>
      <c r="J207" s="156"/>
      <c r="K207" s="64"/>
    </row>
    <row r="208" spans="1:11" x14ac:dyDescent="0.25">
      <c r="A208" s="65"/>
      <c r="B208" s="64"/>
      <c r="C208" s="64"/>
      <c r="D208" s="64"/>
      <c r="E208" s="64"/>
      <c r="F208" s="66"/>
      <c r="G208" s="64"/>
      <c r="H208" s="64"/>
      <c r="I208" s="157">
        <f>IF(A208="","",SUMIF($D$3:$D$208,"Inflow",$F$3:$F$208)-SUMIF($D$3:$D$208,"Outflow",$F$3:$F$208)+SUM(Bank_Accounts!$E$3:$E$22))</f>
      </c>
      <c r="J208" s="156"/>
      <c r="K208" s="64"/>
    </row>
    <row r="209" spans="1:11" x14ac:dyDescent="0.25">
      <c r="A209" s="65"/>
      <c r="B209" s="64"/>
      <c r="C209" s="64"/>
      <c r="D209" s="64"/>
      <c r="E209" s="64"/>
      <c r="F209" s="66"/>
      <c r="G209" s="64"/>
      <c r="H209" s="64"/>
      <c r="I209" s="157">
        <f>IF(A209="","",SUMIF($D$3:$D$209,"Inflow",$F$3:$F$209)-SUMIF($D$3:$D$209,"Outflow",$F$3:$F$209)+SUM(Bank_Accounts!$E$3:$E$22))</f>
      </c>
      <c r="J209" s="156"/>
      <c r="K209" s="64"/>
    </row>
    <row r="210" spans="1:11" x14ac:dyDescent="0.25">
      <c r="A210" s="65"/>
      <c r="B210" s="64"/>
      <c r="C210" s="64"/>
      <c r="D210" s="64"/>
      <c r="E210" s="64"/>
      <c r="F210" s="66"/>
      <c r="G210" s="64"/>
      <c r="H210" s="64"/>
      <c r="I210" s="157">
        <f>IF(A210="","",SUMIF($D$3:$D$210,"Inflow",$F$3:$F$210)-SUMIF($D$3:$D$210,"Outflow",$F$3:$F$210)+SUM(Bank_Accounts!$E$3:$E$22))</f>
      </c>
      <c r="J210" s="156"/>
      <c r="K210" s="64"/>
    </row>
    <row r="211" spans="1:11" x14ac:dyDescent="0.25">
      <c r="A211" s="65"/>
      <c r="B211" s="64"/>
      <c r="C211" s="64"/>
      <c r="D211" s="64"/>
      <c r="E211" s="64"/>
      <c r="F211" s="66"/>
      <c r="G211" s="64"/>
      <c r="H211" s="64"/>
      <c r="I211" s="157">
        <f>IF(A211="","",SUMIF($D$3:$D$211,"Inflow",$F$3:$F$211)-SUMIF($D$3:$D$211,"Outflow",$F$3:$F$211)+SUM(Bank_Accounts!$E$3:$E$22))</f>
      </c>
      <c r="J211" s="156"/>
      <c r="K211" s="64"/>
    </row>
    <row r="212" spans="1:11" x14ac:dyDescent="0.25">
      <c r="A212" s="65"/>
      <c r="B212" s="64"/>
      <c r="C212" s="64"/>
      <c r="D212" s="64"/>
      <c r="E212" s="64"/>
      <c r="F212" s="66"/>
      <c r="G212" s="64"/>
      <c r="H212" s="64"/>
      <c r="I212" s="157">
        <f>IF(A212="","",SUMIF($D$3:$D$212,"Inflow",$F$3:$F$212)-SUMIF($D$3:$D$212,"Outflow",$F$3:$F$212)+SUM(Bank_Accounts!$E$3:$E$22))</f>
      </c>
      <c r="J212" s="156"/>
      <c r="K212" s="64"/>
    </row>
    <row r="213" spans="1:11" x14ac:dyDescent="0.25">
      <c r="A213" s="65"/>
      <c r="B213" s="64"/>
      <c r="C213" s="64"/>
      <c r="D213" s="64"/>
      <c r="E213" s="64"/>
      <c r="F213" s="66"/>
      <c r="G213" s="64"/>
      <c r="H213" s="64"/>
      <c r="I213" s="157">
        <f>IF(A213="","",SUMIF($D$3:$D$213,"Inflow",$F$3:$F$213)-SUMIF($D$3:$D$213,"Outflow",$F$3:$F$213)+SUM(Bank_Accounts!$E$3:$E$22))</f>
      </c>
      <c r="J213" s="156"/>
      <c r="K213" s="64"/>
    </row>
    <row r="214" spans="1:11" x14ac:dyDescent="0.25">
      <c r="A214" s="65"/>
      <c r="B214" s="64"/>
      <c r="C214" s="64"/>
      <c r="D214" s="64"/>
      <c r="E214" s="64"/>
      <c r="F214" s="66"/>
      <c r="G214" s="64"/>
      <c r="H214" s="64"/>
      <c r="I214" s="157">
        <f>IF(A214="","",SUMIF($D$3:$D$214,"Inflow",$F$3:$F$214)-SUMIF($D$3:$D$214,"Outflow",$F$3:$F$214)+SUM(Bank_Accounts!$E$3:$E$22))</f>
      </c>
      <c r="J214" s="156"/>
      <c r="K214" s="64"/>
    </row>
    <row r="215" spans="1:11" x14ac:dyDescent="0.25">
      <c r="A215" s="65"/>
      <c r="B215" s="64"/>
      <c r="C215" s="64"/>
      <c r="D215" s="64"/>
      <c r="E215" s="64"/>
      <c r="F215" s="66"/>
      <c r="G215" s="64"/>
      <c r="H215" s="64"/>
      <c r="I215" s="157">
        <f>IF(A215="","",SUMIF($D$3:$D$215,"Inflow",$F$3:$F$215)-SUMIF($D$3:$D$215,"Outflow",$F$3:$F$215)+SUM(Bank_Accounts!$E$3:$E$22))</f>
      </c>
      <c r="J215" s="156"/>
      <c r="K215" s="64"/>
    </row>
    <row r="216" spans="1:11" x14ac:dyDescent="0.25">
      <c r="A216" s="65"/>
      <c r="B216" s="64"/>
      <c r="C216" s="64"/>
      <c r="D216" s="64"/>
      <c r="E216" s="64"/>
      <c r="F216" s="66"/>
      <c r="G216" s="64"/>
      <c r="H216" s="64"/>
      <c r="I216" s="157">
        <f>IF(A216="","",SUMIF($D$3:$D$216,"Inflow",$F$3:$F$216)-SUMIF($D$3:$D$216,"Outflow",$F$3:$F$216)+SUM(Bank_Accounts!$E$3:$E$22))</f>
      </c>
      <c r="J216" s="156"/>
      <c r="K216" s="64"/>
    </row>
    <row r="217" spans="1:11" x14ac:dyDescent="0.25">
      <c r="A217" s="65"/>
      <c r="B217" s="64"/>
      <c r="C217" s="64"/>
      <c r="D217" s="64"/>
      <c r="E217" s="64"/>
      <c r="F217" s="66"/>
      <c r="G217" s="64"/>
      <c r="H217" s="64"/>
      <c r="I217" s="157">
        <f>IF(A217="","",SUMIF($D$3:$D$217,"Inflow",$F$3:$F$217)-SUMIF($D$3:$D$217,"Outflow",$F$3:$F$217)+SUM(Bank_Accounts!$E$3:$E$22))</f>
      </c>
      <c r="J217" s="156"/>
      <c r="K217" s="64"/>
    </row>
    <row r="218" spans="1:11" x14ac:dyDescent="0.25">
      <c r="A218" s="65"/>
      <c r="B218" s="64"/>
      <c r="C218" s="64"/>
      <c r="D218" s="64"/>
      <c r="E218" s="64"/>
      <c r="F218" s="66"/>
      <c r="G218" s="64"/>
      <c r="H218" s="64"/>
      <c r="I218" s="157">
        <f>IF(A218="","",SUMIF($D$3:$D$218,"Inflow",$F$3:$F$218)-SUMIF($D$3:$D$218,"Outflow",$F$3:$F$218)+SUM(Bank_Accounts!$E$3:$E$22))</f>
      </c>
      <c r="J218" s="156"/>
      <c r="K218" s="64"/>
    </row>
    <row r="219" spans="1:11" x14ac:dyDescent="0.25">
      <c r="A219" s="65"/>
      <c r="B219" s="64"/>
      <c r="C219" s="64"/>
      <c r="D219" s="64"/>
      <c r="E219" s="64"/>
      <c r="F219" s="66"/>
      <c r="G219" s="64"/>
      <c r="H219" s="64"/>
      <c r="I219" s="157">
        <f>IF(A219="","",SUMIF($D$3:$D$219,"Inflow",$F$3:$F$219)-SUMIF($D$3:$D$219,"Outflow",$F$3:$F$219)+SUM(Bank_Accounts!$E$3:$E$22))</f>
      </c>
      <c r="J219" s="156"/>
      <c r="K219" s="64"/>
    </row>
    <row r="220" spans="1:11" x14ac:dyDescent="0.25">
      <c r="A220" s="65"/>
      <c r="B220" s="64"/>
      <c r="C220" s="64"/>
      <c r="D220" s="64"/>
      <c r="E220" s="64"/>
      <c r="F220" s="66"/>
      <c r="G220" s="64"/>
      <c r="H220" s="64"/>
      <c r="I220" s="157">
        <f>IF(A220="","",SUMIF($D$3:$D$220,"Inflow",$F$3:$F$220)-SUMIF($D$3:$D$220,"Outflow",$F$3:$F$220)+SUM(Bank_Accounts!$E$3:$E$22))</f>
      </c>
      <c r="J220" s="156"/>
      <c r="K220" s="64"/>
    </row>
    <row r="221" spans="1:11" x14ac:dyDescent="0.25">
      <c r="A221" s="65"/>
      <c r="B221" s="64"/>
      <c r="C221" s="64"/>
      <c r="D221" s="64"/>
      <c r="E221" s="64"/>
      <c r="F221" s="66"/>
      <c r="G221" s="64"/>
      <c r="H221" s="64"/>
      <c r="I221" s="157">
        <f>IF(A221="","",SUMIF($D$3:$D$221,"Inflow",$F$3:$F$221)-SUMIF($D$3:$D$221,"Outflow",$F$3:$F$221)+SUM(Bank_Accounts!$E$3:$E$22))</f>
      </c>
      <c r="J221" s="156"/>
      <c r="K221" s="64"/>
    </row>
    <row r="222" spans="1:11" x14ac:dyDescent="0.25">
      <c r="A222" s="65"/>
      <c r="B222" s="64"/>
      <c r="C222" s="64"/>
      <c r="D222" s="64"/>
      <c r="E222" s="64"/>
      <c r="F222" s="66"/>
      <c r="G222" s="64"/>
      <c r="H222" s="64"/>
      <c r="I222" s="157">
        <f>IF(A222="","",SUMIF($D$3:$D$222,"Inflow",$F$3:$F$222)-SUMIF($D$3:$D$222,"Outflow",$F$3:$F$222)+SUM(Bank_Accounts!$E$3:$E$22))</f>
      </c>
      <c r="J222" s="156"/>
      <c r="K222" s="64"/>
    </row>
    <row r="223" spans="1:11" x14ac:dyDescent="0.25">
      <c r="A223" s="65"/>
      <c r="B223" s="64"/>
      <c r="C223" s="64"/>
      <c r="D223" s="64"/>
      <c r="E223" s="64"/>
      <c r="F223" s="66"/>
      <c r="G223" s="64"/>
      <c r="H223" s="64"/>
      <c r="I223" s="157">
        <f>IF(A223="","",SUMIF($D$3:$D$223,"Inflow",$F$3:$F$223)-SUMIF($D$3:$D$223,"Outflow",$F$3:$F$223)+SUM(Bank_Accounts!$E$3:$E$22))</f>
      </c>
      <c r="J223" s="156"/>
      <c r="K223" s="64"/>
    </row>
    <row r="224" spans="1:11" x14ac:dyDescent="0.25">
      <c r="A224" s="65"/>
      <c r="B224" s="64"/>
      <c r="C224" s="64"/>
      <c r="D224" s="64"/>
      <c r="E224" s="64"/>
      <c r="F224" s="66"/>
      <c r="G224" s="64"/>
      <c r="H224" s="64"/>
      <c r="I224" s="157">
        <f>IF(A224="","",SUMIF($D$3:$D$224,"Inflow",$F$3:$F$224)-SUMIF($D$3:$D$224,"Outflow",$F$3:$F$224)+SUM(Bank_Accounts!$E$3:$E$22))</f>
      </c>
      <c r="J224" s="156"/>
      <c r="K224" s="64"/>
    </row>
    <row r="225" spans="1:11" x14ac:dyDescent="0.25">
      <c r="A225" s="65"/>
      <c r="B225" s="64"/>
      <c r="C225" s="64"/>
      <c r="D225" s="64"/>
      <c r="E225" s="64"/>
      <c r="F225" s="66"/>
      <c r="G225" s="64"/>
      <c r="H225" s="64"/>
      <c r="I225" s="157">
        <f>IF(A225="","",SUMIF($D$3:$D$225,"Inflow",$F$3:$F$225)-SUMIF($D$3:$D$225,"Outflow",$F$3:$F$225)+SUM(Bank_Accounts!$E$3:$E$22))</f>
      </c>
      <c r="J225" s="156"/>
      <c r="K225" s="64"/>
    </row>
    <row r="226" spans="1:11" x14ac:dyDescent="0.25">
      <c r="A226" s="65"/>
      <c r="B226" s="64"/>
      <c r="C226" s="64"/>
      <c r="D226" s="64"/>
      <c r="E226" s="64"/>
      <c r="F226" s="66"/>
      <c r="G226" s="64"/>
      <c r="H226" s="64"/>
      <c r="I226" s="157">
        <f>IF(A226="","",SUMIF($D$3:$D$226,"Inflow",$F$3:$F$226)-SUMIF($D$3:$D$226,"Outflow",$F$3:$F$226)+SUM(Bank_Accounts!$E$3:$E$22))</f>
      </c>
      <c r="J226" s="156"/>
      <c r="K226" s="64"/>
    </row>
    <row r="227" spans="1:11" x14ac:dyDescent="0.25">
      <c r="A227" s="65"/>
      <c r="B227" s="64"/>
      <c r="C227" s="64"/>
      <c r="D227" s="64"/>
      <c r="E227" s="64"/>
      <c r="F227" s="66"/>
      <c r="G227" s="64"/>
      <c r="H227" s="64"/>
      <c r="I227" s="157">
        <f>IF(A227="","",SUMIF($D$3:$D$227,"Inflow",$F$3:$F$227)-SUMIF($D$3:$D$227,"Outflow",$F$3:$F$227)+SUM(Bank_Accounts!$E$3:$E$22))</f>
      </c>
      <c r="J227" s="156"/>
      <c r="K227" s="64"/>
    </row>
    <row r="228" spans="1:11" x14ac:dyDescent="0.25">
      <c r="A228" s="65"/>
      <c r="B228" s="64"/>
      <c r="C228" s="64"/>
      <c r="D228" s="64"/>
      <c r="E228" s="64"/>
      <c r="F228" s="66"/>
      <c r="G228" s="64"/>
      <c r="H228" s="64"/>
      <c r="I228" s="157">
        <f>IF(A228="","",SUMIF($D$3:$D$228,"Inflow",$F$3:$F$228)-SUMIF($D$3:$D$228,"Outflow",$F$3:$F$228)+SUM(Bank_Accounts!$E$3:$E$22))</f>
      </c>
      <c r="J228" s="156"/>
      <c r="K228" s="64"/>
    </row>
    <row r="229" spans="1:11" x14ac:dyDescent="0.25">
      <c r="A229" s="65"/>
      <c r="B229" s="64"/>
      <c r="C229" s="64"/>
      <c r="D229" s="64"/>
      <c r="E229" s="64"/>
      <c r="F229" s="66"/>
      <c r="G229" s="64"/>
      <c r="H229" s="64"/>
      <c r="I229" s="157">
        <f>IF(A229="","",SUMIF($D$3:$D$229,"Inflow",$F$3:$F$229)-SUMIF($D$3:$D$229,"Outflow",$F$3:$F$229)+SUM(Bank_Accounts!$E$3:$E$22))</f>
      </c>
      <c r="J229" s="156"/>
      <c r="K229" s="64"/>
    </row>
    <row r="230" spans="1:11" x14ac:dyDescent="0.25">
      <c r="A230" s="65"/>
      <c r="B230" s="64"/>
      <c r="C230" s="64"/>
      <c r="D230" s="64"/>
      <c r="E230" s="64"/>
      <c r="F230" s="66"/>
      <c r="G230" s="64"/>
      <c r="H230" s="64"/>
      <c r="I230" s="157">
        <f>IF(A230="","",SUMIF($D$3:$D$230,"Inflow",$F$3:$F$230)-SUMIF($D$3:$D$230,"Outflow",$F$3:$F$230)+SUM(Bank_Accounts!$E$3:$E$22))</f>
      </c>
      <c r="J230" s="156"/>
      <c r="K230" s="64"/>
    </row>
    <row r="231" spans="1:11" x14ac:dyDescent="0.25">
      <c r="A231" s="65"/>
      <c r="B231" s="64"/>
      <c r="C231" s="64"/>
      <c r="D231" s="64"/>
      <c r="E231" s="64"/>
      <c r="F231" s="66"/>
      <c r="G231" s="64"/>
      <c r="H231" s="64"/>
      <c r="I231" s="157">
        <f>IF(A231="","",SUMIF($D$3:$D$231,"Inflow",$F$3:$F$231)-SUMIF($D$3:$D$231,"Outflow",$F$3:$F$231)+SUM(Bank_Accounts!$E$3:$E$22))</f>
      </c>
      <c r="J231" s="156"/>
      <c r="K231" s="64"/>
    </row>
    <row r="232" spans="1:11" x14ac:dyDescent="0.25">
      <c r="A232" s="65"/>
      <c r="B232" s="64"/>
      <c r="C232" s="64"/>
      <c r="D232" s="64"/>
      <c r="E232" s="64"/>
      <c r="F232" s="66"/>
      <c r="G232" s="64"/>
      <c r="H232" s="64"/>
      <c r="I232" s="157">
        <f>IF(A232="","",SUMIF($D$3:$D$232,"Inflow",$F$3:$F$232)-SUMIF($D$3:$D$232,"Outflow",$F$3:$F$232)+SUM(Bank_Accounts!$E$3:$E$22))</f>
      </c>
      <c r="J232" s="156"/>
      <c r="K232" s="64"/>
    </row>
    <row r="233" spans="1:11" x14ac:dyDescent="0.25">
      <c r="A233" s="65"/>
      <c r="B233" s="64"/>
      <c r="C233" s="64"/>
      <c r="D233" s="64"/>
      <c r="E233" s="64"/>
      <c r="F233" s="66"/>
      <c r="G233" s="64"/>
      <c r="H233" s="64"/>
      <c r="I233" s="157">
        <f>IF(A233="","",SUMIF($D$3:$D$233,"Inflow",$F$3:$F$233)-SUMIF($D$3:$D$233,"Outflow",$F$3:$F$233)+SUM(Bank_Accounts!$E$3:$E$22))</f>
      </c>
      <c r="J233" s="156"/>
      <c r="K233" s="64"/>
    </row>
    <row r="234" spans="1:11" x14ac:dyDescent="0.25">
      <c r="A234" s="65"/>
      <c r="B234" s="64"/>
      <c r="C234" s="64"/>
      <c r="D234" s="64"/>
      <c r="E234" s="64"/>
      <c r="F234" s="66"/>
      <c r="G234" s="64"/>
      <c r="H234" s="64"/>
      <c r="I234" s="157">
        <f>IF(A234="","",SUMIF($D$3:$D$234,"Inflow",$F$3:$F$234)-SUMIF($D$3:$D$234,"Outflow",$F$3:$F$234)+SUM(Bank_Accounts!$E$3:$E$22))</f>
      </c>
      <c r="J234" s="156"/>
      <c r="K234" s="64"/>
    </row>
    <row r="235" spans="1:11" x14ac:dyDescent="0.25">
      <c r="A235" s="65"/>
      <c r="B235" s="64"/>
      <c r="C235" s="64"/>
      <c r="D235" s="64"/>
      <c r="E235" s="64"/>
      <c r="F235" s="66"/>
      <c r="G235" s="64"/>
      <c r="H235" s="64"/>
      <c r="I235" s="157">
        <f>IF(A235="","",SUMIF($D$3:$D$235,"Inflow",$F$3:$F$235)-SUMIF($D$3:$D$235,"Outflow",$F$3:$F$235)+SUM(Bank_Accounts!$E$3:$E$22))</f>
      </c>
      <c r="J235" s="156"/>
      <c r="K235" s="64"/>
    </row>
    <row r="236" spans="1:11" x14ac:dyDescent="0.25">
      <c r="A236" s="65"/>
      <c r="B236" s="64"/>
      <c r="C236" s="64"/>
      <c r="D236" s="64"/>
      <c r="E236" s="64"/>
      <c r="F236" s="66"/>
      <c r="G236" s="64"/>
      <c r="H236" s="64"/>
      <c r="I236" s="157">
        <f>IF(A236="","",SUMIF($D$3:$D$236,"Inflow",$F$3:$F$236)-SUMIF($D$3:$D$236,"Outflow",$F$3:$F$236)+SUM(Bank_Accounts!$E$3:$E$22))</f>
      </c>
      <c r="J236" s="156"/>
      <c r="K236" s="64"/>
    </row>
    <row r="237" spans="1:11" x14ac:dyDescent="0.25">
      <c r="A237" s="65"/>
      <c r="B237" s="64"/>
      <c r="C237" s="64"/>
      <c r="D237" s="64"/>
      <c r="E237" s="64"/>
      <c r="F237" s="66"/>
      <c r="G237" s="64"/>
      <c r="H237" s="64"/>
      <c r="I237" s="157">
        <f>IF(A237="","",SUMIF($D$3:$D$237,"Inflow",$F$3:$F$237)-SUMIF($D$3:$D$237,"Outflow",$F$3:$F$237)+SUM(Bank_Accounts!$E$3:$E$22))</f>
      </c>
      <c r="J237" s="156"/>
      <c r="K237" s="64"/>
    </row>
    <row r="238" spans="1:11" x14ac:dyDescent="0.25">
      <c r="A238" s="65"/>
      <c r="B238" s="64"/>
      <c r="C238" s="64"/>
      <c r="D238" s="64"/>
      <c r="E238" s="64"/>
      <c r="F238" s="66"/>
      <c r="G238" s="64"/>
      <c r="H238" s="64"/>
      <c r="I238" s="157">
        <f>IF(A238="","",SUMIF($D$3:$D$238,"Inflow",$F$3:$F$238)-SUMIF($D$3:$D$238,"Outflow",$F$3:$F$238)+SUM(Bank_Accounts!$E$3:$E$22))</f>
      </c>
      <c r="J238" s="156"/>
      <c r="K238" s="64"/>
    </row>
    <row r="239" spans="1:11" x14ac:dyDescent="0.25">
      <c r="A239" s="65"/>
      <c r="B239" s="64"/>
      <c r="C239" s="64"/>
      <c r="D239" s="64"/>
      <c r="E239" s="64"/>
      <c r="F239" s="66"/>
      <c r="G239" s="64"/>
      <c r="H239" s="64"/>
      <c r="I239" s="157">
        <f>IF(A239="","",SUMIF($D$3:$D$239,"Inflow",$F$3:$F$239)-SUMIF($D$3:$D$239,"Outflow",$F$3:$F$239)+SUM(Bank_Accounts!$E$3:$E$22))</f>
      </c>
      <c r="J239" s="156"/>
      <c r="K239" s="64"/>
    </row>
    <row r="240" spans="1:11" x14ac:dyDescent="0.25">
      <c r="A240" s="65"/>
      <c r="B240" s="64"/>
      <c r="C240" s="64"/>
      <c r="D240" s="64"/>
      <c r="E240" s="64"/>
      <c r="F240" s="66"/>
      <c r="G240" s="64"/>
      <c r="H240" s="64"/>
      <c r="I240" s="157">
        <f>IF(A240="","",SUMIF($D$3:$D$240,"Inflow",$F$3:$F$240)-SUMIF($D$3:$D$240,"Outflow",$F$3:$F$240)+SUM(Bank_Accounts!$E$3:$E$22))</f>
      </c>
      <c r="J240" s="156"/>
      <c r="K240" s="64"/>
    </row>
    <row r="241" spans="1:11" x14ac:dyDescent="0.25">
      <c r="A241" s="65"/>
      <c r="B241" s="64"/>
      <c r="C241" s="64"/>
      <c r="D241" s="64"/>
      <c r="E241" s="64"/>
      <c r="F241" s="66"/>
      <c r="G241" s="64"/>
      <c r="H241" s="64"/>
      <c r="I241" s="157">
        <f>IF(A241="","",SUMIF($D$3:$D$241,"Inflow",$F$3:$F$241)-SUMIF($D$3:$D$241,"Outflow",$F$3:$F$241)+SUM(Bank_Accounts!$E$3:$E$22))</f>
      </c>
      <c r="J241" s="156"/>
      <c r="K241" s="64"/>
    </row>
    <row r="242" spans="1:11" x14ac:dyDescent="0.25">
      <c r="A242" s="65"/>
      <c r="B242" s="64"/>
      <c r="C242" s="64"/>
      <c r="D242" s="64"/>
      <c r="E242" s="64"/>
      <c r="F242" s="66"/>
      <c r="G242" s="64"/>
      <c r="H242" s="64"/>
      <c r="I242" s="157">
        <f>IF(A242="","",SUMIF($D$3:$D$242,"Inflow",$F$3:$F$242)-SUMIF($D$3:$D$242,"Outflow",$F$3:$F$242)+SUM(Bank_Accounts!$E$3:$E$22))</f>
      </c>
      <c r="J242" s="156"/>
      <c r="K242" s="64"/>
    </row>
    <row r="243" spans="1:11" x14ac:dyDescent="0.25">
      <c r="A243" s="65"/>
      <c r="B243" s="64"/>
      <c r="C243" s="64"/>
      <c r="D243" s="64"/>
      <c r="E243" s="64"/>
      <c r="F243" s="66"/>
      <c r="G243" s="64"/>
      <c r="H243" s="64"/>
      <c r="I243" s="157">
        <f>IF(A243="","",SUMIF($D$3:$D$243,"Inflow",$F$3:$F$243)-SUMIF($D$3:$D$243,"Outflow",$F$3:$F$243)+SUM(Bank_Accounts!$E$3:$E$22))</f>
      </c>
      <c r="J243" s="156"/>
      <c r="K243" s="64"/>
    </row>
    <row r="244" spans="1:11" x14ac:dyDescent="0.25">
      <c r="A244" s="65"/>
      <c r="B244" s="64"/>
      <c r="C244" s="64"/>
      <c r="D244" s="64"/>
      <c r="E244" s="64"/>
      <c r="F244" s="66"/>
      <c r="G244" s="64"/>
      <c r="H244" s="64"/>
      <c r="I244" s="157">
        <f>IF(A244="","",SUMIF($D$3:$D$244,"Inflow",$F$3:$F$244)-SUMIF($D$3:$D$244,"Outflow",$F$3:$F$244)+SUM(Bank_Accounts!$E$3:$E$22))</f>
      </c>
      <c r="J244" s="156"/>
      <c r="K244" s="64"/>
    </row>
    <row r="245" spans="1:11" x14ac:dyDescent="0.25">
      <c r="A245" s="65"/>
      <c r="B245" s="64"/>
      <c r="C245" s="64"/>
      <c r="D245" s="64"/>
      <c r="E245" s="64"/>
      <c r="F245" s="66"/>
      <c r="G245" s="64"/>
      <c r="H245" s="64"/>
      <c r="I245" s="157">
        <f>IF(A245="","",SUMIF($D$3:$D$245,"Inflow",$F$3:$F$245)-SUMIF($D$3:$D$245,"Outflow",$F$3:$F$245)+SUM(Bank_Accounts!$E$3:$E$22))</f>
      </c>
      <c r="J245" s="156"/>
      <c r="K245" s="64"/>
    </row>
    <row r="246" spans="1:11" x14ac:dyDescent="0.25">
      <c r="A246" s="65"/>
      <c r="B246" s="64"/>
      <c r="C246" s="64"/>
      <c r="D246" s="64"/>
      <c r="E246" s="64"/>
      <c r="F246" s="66"/>
      <c r="G246" s="64"/>
      <c r="H246" s="64"/>
      <c r="I246" s="157">
        <f>IF(A246="","",SUMIF($D$3:$D$246,"Inflow",$F$3:$F$246)-SUMIF($D$3:$D$246,"Outflow",$F$3:$F$246)+SUM(Bank_Accounts!$E$3:$E$22))</f>
      </c>
      <c r="J246" s="156"/>
      <c r="K246" s="64"/>
    </row>
    <row r="247" spans="1:11" x14ac:dyDescent="0.25">
      <c r="A247" s="65"/>
      <c r="B247" s="64"/>
      <c r="C247" s="64"/>
      <c r="D247" s="64"/>
      <c r="E247" s="64"/>
      <c r="F247" s="66"/>
      <c r="G247" s="64"/>
      <c r="H247" s="64"/>
      <c r="I247" s="157">
        <f>IF(A247="","",SUMIF($D$3:$D$247,"Inflow",$F$3:$F$247)-SUMIF($D$3:$D$247,"Outflow",$F$3:$F$247)+SUM(Bank_Accounts!$E$3:$E$22))</f>
      </c>
      <c r="J247" s="156"/>
      <c r="K247" s="64"/>
    </row>
    <row r="248" spans="1:11" x14ac:dyDescent="0.25">
      <c r="A248" s="65"/>
      <c r="B248" s="64"/>
      <c r="C248" s="64"/>
      <c r="D248" s="64"/>
      <c r="E248" s="64"/>
      <c r="F248" s="66"/>
      <c r="G248" s="64"/>
      <c r="H248" s="64"/>
      <c r="I248" s="157">
        <f>IF(A248="","",SUMIF($D$3:$D$248,"Inflow",$F$3:$F$248)-SUMIF($D$3:$D$248,"Outflow",$F$3:$F$248)+SUM(Bank_Accounts!$E$3:$E$22))</f>
      </c>
      <c r="J248" s="156"/>
      <c r="K248" s="64"/>
    </row>
    <row r="249" spans="1:11" x14ac:dyDescent="0.25">
      <c r="A249" s="65"/>
      <c r="B249" s="64"/>
      <c r="C249" s="64"/>
      <c r="D249" s="64"/>
      <c r="E249" s="64"/>
      <c r="F249" s="66"/>
      <c r="G249" s="64"/>
      <c r="H249" s="64"/>
      <c r="I249" s="157">
        <f>IF(A249="","",SUMIF($D$3:$D$249,"Inflow",$F$3:$F$249)-SUMIF($D$3:$D$249,"Outflow",$F$3:$F$249)+SUM(Bank_Accounts!$E$3:$E$22))</f>
      </c>
      <c r="J249" s="156"/>
      <c r="K249" s="64"/>
    </row>
    <row r="250" spans="1:11" x14ac:dyDescent="0.25">
      <c r="A250" s="65"/>
      <c r="B250" s="64"/>
      <c r="C250" s="64"/>
      <c r="D250" s="64"/>
      <c r="E250" s="64"/>
      <c r="F250" s="66"/>
      <c r="G250" s="64"/>
      <c r="H250" s="64"/>
      <c r="I250" s="157">
        <f>IF(A250="","",SUMIF($D$3:$D$250,"Inflow",$F$3:$F$250)-SUMIF($D$3:$D$250,"Outflow",$F$3:$F$250)+SUM(Bank_Accounts!$E$3:$E$22))</f>
      </c>
      <c r="J250" s="156"/>
      <c r="K250" s="64"/>
    </row>
    <row r="251" spans="1:11" x14ac:dyDescent="0.25">
      <c r="A251" s="65"/>
      <c r="B251" s="64"/>
      <c r="C251" s="64"/>
      <c r="D251" s="64"/>
      <c r="E251" s="64"/>
      <c r="F251" s="66"/>
      <c r="G251" s="64"/>
      <c r="H251" s="64"/>
      <c r="I251" s="157">
        <f>IF(A251="","",SUMIF($D$3:$D$251,"Inflow",$F$3:$F$251)-SUMIF($D$3:$D$251,"Outflow",$F$3:$F$251)+SUM(Bank_Accounts!$E$3:$E$22))</f>
      </c>
      <c r="J251" s="156"/>
      <c r="K251" s="64"/>
    </row>
    <row r="252" spans="1:11" x14ac:dyDescent="0.25">
      <c r="A252" s="65"/>
      <c r="B252" s="64"/>
      <c r="C252" s="64"/>
      <c r="D252" s="64"/>
      <c r="E252" s="64"/>
      <c r="F252" s="66"/>
      <c r="G252" s="64"/>
      <c r="H252" s="64"/>
      <c r="I252" s="157">
        <f>IF(A252="","",SUMIF($D$3:$D$252,"Inflow",$F$3:$F$252)-SUMIF($D$3:$D$252,"Outflow",$F$3:$F$252)+SUM(Bank_Accounts!$E$3:$E$22))</f>
      </c>
      <c r="J252" s="156"/>
      <c r="K252" s="64"/>
    </row>
    <row r="253" spans="1:11" x14ac:dyDescent="0.25">
      <c r="A253" s="65"/>
      <c r="B253" s="64"/>
      <c r="C253" s="64"/>
      <c r="D253" s="64"/>
      <c r="E253" s="64"/>
      <c r="F253" s="66"/>
      <c r="G253" s="64"/>
      <c r="H253" s="64"/>
      <c r="I253" s="157">
        <f>IF(A253="","",SUMIF($D$3:$D$253,"Inflow",$F$3:$F$253)-SUMIF($D$3:$D$253,"Outflow",$F$3:$F$253)+SUM(Bank_Accounts!$E$3:$E$22))</f>
      </c>
      <c r="J253" s="156"/>
      <c r="K253" s="64"/>
    </row>
    <row r="254" spans="1:11" x14ac:dyDescent="0.25">
      <c r="A254" s="65"/>
      <c r="B254" s="64"/>
      <c r="C254" s="64"/>
      <c r="D254" s="64"/>
      <c r="E254" s="64"/>
      <c r="F254" s="66"/>
      <c r="G254" s="64"/>
      <c r="H254" s="64"/>
      <c r="I254" s="157">
        <f>IF(A254="","",SUMIF($D$3:$D$254,"Inflow",$F$3:$F$254)-SUMIF($D$3:$D$254,"Outflow",$F$3:$F$254)+SUM(Bank_Accounts!$E$3:$E$22))</f>
      </c>
      <c r="J254" s="156"/>
      <c r="K254" s="64"/>
    </row>
    <row r="255" spans="1:11" x14ac:dyDescent="0.25">
      <c r="A255" s="65"/>
      <c r="B255" s="64"/>
      <c r="C255" s="64"/>
      <c r="D255" s="64"/>
      <c r="E255" s="64"/>
      <c r="F255" s="66"/>
      <c r="G255" s="64"/>
      <c r="H255" s="64"/>
      <c r="I255" s="157">
        <f>IF(A255="","",SUMIF($D$3:$D$255,"Inflow",$F$3:$F$255)-SUMIF($D$3:$D$255,"Outflow",$F$3:$F$255)+SUM(Bank_Accounts!$E$3:$E$22))</f>
      </c>
      <c r="J255" s="156"/>
      <c r="K255" s="64"/>
    </row>
    <row r="256" spans="1:11" x14ac:dyDescent="0.25">
      <c r="A256" s="65"/>
      <c r="B256" s="64"/>
      <c r="C256" s="64"/>
      <c r="D256" s="64"/>
      <c r="E256" s="64"/>
      <c r="F256" s="66"/>
      <c r="G256" s="64"/>
      <c r="H256" s="64"/>
      <c r="I256" s="157">
        <f>IF(A256="","",SUMIF($D$3:$D$256,"Inflow",$F$3:$F$256)-SUMIF($D$3:$D$256,"Outflow",$F$3:$F$256)+SUM(Bank_Accounts!$E$3:$E$22))</f>
      </c>
      <c r="J256" s="156"/>
      <c r="K256" s="64"/>
    </row>
    <row r="257" spans="1:11" x14ac:dyDescent="0.25">
      <c r="A257" s="65"/>
      <c r="B257" s="64"/>
      <c r="C257" s="64"/>
      <c r="D257" s="64"/>
      <c r="E257" s="64"/>
      <c r="F257" s="66"/>
      <c r="G257" s="64"/>
      <c r="H257" s="64"/>
      <c r="I257" s="157">
        <f>IF(A257="","",SUMIF($D$3:$D$257,"Inflow",$F$3:$F$257)-SUMIF($D$3:$D$257,"Outflow",$F$3:$F$257)+SUM(Bank_Accounts!$E$3:$E$22))</f>
      </c>
      <c r="J257" s="156"/>
      <c r="K257" s="64"/>
    </row>
    <row r="258" spans="1:11" x14ac:dyDescent="0.25">
      <c r="A258" s="65"/>
      <c r="B258" s="64"/>
      <c r="C258" s="64"/>
      <c r="D258" s="64"/>
      <c r="E258" s="64"/>
      <c r="F258" s="66"/>
      <c r="G258" s="64"/>
      <c r="H258" s="64"/>
      <c r="I258" s="157">
        <f>IF(A258="","",SUMIF($D$3:$D$258,"Inflow",$F$3:$F$258)-SUMIF($D$3:$D$258,"Outflow",$F$3:$F$258)+SUM(Bank_Accounts!$E$3:$E$22))</f>
      </c>
      <c r="J258" s="156"/>
      <c r="K258" s="64"/>
    </row>
    <row r="259" spans="1:11" x14ac:dyDescent="0.25">
      <c r="A259" s="65"/>
      <c r="B259" s="64"/>
      <c r="C259" s="64"/>
      <c r="D259" s="64"/>
      <c r="E259" s="64"/>
      <c r="F259" s="66"/>
      <c r="G259" s="64"/>
      <c r="H259" s="64"/>
      <c r="I259" s="157">
        <f>IF(A259="","",SUMIF($D$3:$D$259,"Inflow",$F$3:$F$259)-SUMIF($D$3:$D$259,"Outflow",$F$3:$F$259)+SUM(Bank_Accounts!$E$3:$E$22))</f>
      </c>
      <c r="J259" s="156"/>
      <c r="K259" s="64"/>
    </row>
    <row r="260" spans="1:11" x14ac:dyDescent="0.25">
      <c r="A260" s="65"/>
      <c r="B260" s="64"/>
      <c r="C260" s="64"/>
      <c r="D260" s="64"/>
      <c r="E260" s="64"/>
      <c r="F260" s="66"/>
      <c r="G260" s="64"/>
      <c r="H260" s="64"/>
      <c r="I260" s="157">
        <f>IF(A260="","",SUMIF($D$3:$D$260,"Inflow",$F$3:$F$260)-SUMIF($D$3:$D$260,"Outflow",$F$3:$F$260)+SUM(Bank_Accounts!$E$3:$E$22))</f>
      </c>
      <c r="J260" s="156"/>
      <c r="K260" s="64"/>
    </row>
    <row r="261" spans="1:11" x14ac:dyDescent="0.25">
      <c r="A261" s="65"/>
      <c r="B261" s="64"/>
      <c r="C261" s="64"/>
      <c r="D261" s="64"/>
      <c r="E261" s="64"/>
      <c r="F261" s="66"/>
      <c r="G261" s="64"/>
      <c r="H261" s="64"/>
      <c r="I261" s="157">
        <f>IF(A261="","",SUMIF($D$3:$D$261,"Inflow",$F$3:$F$261)-SUMIF($D$3:$D$261,"Outflow",$F$3:$F$261)+SUM(Bank_Accounts!$E$3:$E$22))</f>
      </c>
      <c r="J261" s="156"/>
      <c r="K261" s="64"/>
    </row>
    <row r="262" spans="1:11" x14ac:dyDescent="0.25">
      <c r="A262" s="65"/>
      <c r="B262" s="64"/>
      <c r="C262" s="64"/>
      <c r="D262" s="64"/>
      <c r="E262" s="64"/>
      <c r="F262" s="66"/>
      <c r="G262" s="64"/>
      <c r="H262" s="64"/>
      <c r="I262" s="157">
        <f>IF(A262="","",SUMIF($D$3:$D$262,"Inflow",$F$3:$F$262)-SUMIF($D$3:$D$262,"Outflow",$F$3:$F$262)+SUM(Bank_Accounts!$E$3:$E$22))</f>
      </c>
      <c r="J262" s="156"/>
      <c r="K262" s="64"/>
    </row>
    <row r="263" spans="1:11" x14ac:dyDescent="0.25">
      <c r="A263" s="65"/>
      <c r="B263" s="64"/>
      <c r="C263" s="64"/>
      <c r="D263" s="64"/>
      <c r="E263" s="64"/>
      <c r="F263" s="66"/>
      <c r="G263" s="64"/>
      <c r="H263" s="64"/>
      <c r="I263" s="157">
        <f>IF(A263="","",SUMIF($D$3:$D$263,"Inflow",$F$3:$F$263)-SUMIF($D$3:$D$263,"Outflow",$F$3:$F$263)+SUM(Bank_Accounts!$E$3:$E$22))</f>
      </c>
      <c r="J263" s="156"/>
      <c r="K263" s="64"/>
    </row>
    <row r="264" spans="1:11" x14ac:dyDescent="0.25">
      <c r="A264" s="65"/>
      <c r="B264" s="64"/>
      <c r="C264" s="64"/>
      <c r="D264" s="64"/>
      <c r="E264" s="64"/>
      <c r="F264" s="66"/>
      <c r="G264" s="64"/>
      <c r="H264" s="64"/>
      <c r="I264" s="157">
        <f>IF(A264="","",SUMIF($D$3:$D$264,"Inflow",$F$3:$F$264)-SUMIF($D$3:$D$264,"Outflow",$F$3:$F$264)+SUM(Bank_Accounts!$E$3:$E$22))</f>
      </c>
      <c r="J264" s="156"/>
      <c r="K264" s="64"/>
    </row>
    <row r="265" spans="1:11" x14ac:dyDescent="0.25">
      <c r="A265" s="65"/>
      <c r="B265" s="64"/>
      <c r="C265" s="64"/>
      <c r="D265" s="64"/>
      <c r="E265" s="64"/>
      <c r="F265" s="66"/>
      <c r="G265" s="64"/>
      <c r="H265" s="64"/>
      <c r="I265" s="157">
        <f>IF(A265="","",SUMIF($D$3:$D$265,"Inflow",$F$3:$F$265)-SUMIF($D$3:$D$265,"Outflow",$F$3:$F$265)+SUM(Bank_Accounts!$E$3:$E$22))</f>
      </c>
      <c r="J265" s="156"/>
      <c r="K265" s="64"/>
    </row>
    <row r="266" spans="1:11" x14ac:dyDescent="0.25">
      <c r="A266" s="65"/>
      <c r="B266" s="64"/>
      <c r="C266" s="64"/>
      <c r="D266" s="64"/>
      <c r="E266" s="64"/>
      <c r="F266" s="66"/>
      <c r="G266" s="64"/>
      <c r="H266" s="64"/>
      <c r="I266" s="157">
        <f>IF(A266="","",SUMIF($D$3:$D$266,"Inflow",$F$3:$F$266)-SUMIF($D$3:$D$266,"Outflow",$F$3:$F$266)+SUM(Bank_Accounts!$E$3:$E$22))</f>
      </c>
      <c r="J266" s="156"/>
      <c r="K266" s="64"/>
    </row>
    <row r="267" spans="1:11" x14ac:dyDescent="0.25">
      <c r="A267" s="65"/>
      <c r="B267" s="64"/>
      <c r="C267" s="64"/>
      <c r="D267" s="64"/>
      <c r="E267" s="64"/>
      <c r="F267" s="66"/>
      <c r="G267" s="64"/>
      <c r="H267" s="64"/>
      <c r="I267" s="157">
        <f>IF(A267="","",SUMIF($D$3:$D$267,"Inflow",$F$3:$F$267)-SUMIF($D$3:$D$267,"Outflow",$F$3:$F$267)+SUM(Bank_Accounts!$E$3:$E$22))</f>
      </c>
      <c r="J267" s="156"/>
      <c r="K267" s="64"/>
    </row>
    <row r="268" spans="1:11" x14ac:dyDescent="0.25">
      <c r="A268" s="65"/>
      <c r="B268" s="64"/>
      <c r="C268" s="64"/>
      <c r="D268" s="64"/>
      <c r="E268" s="64"/>
      <c r="F268" s="66"/>
      <c r="G268" s="64"/>
      <c r="H268" s="64"/>
      <c r="I268" s="157">
        <f>IF(A268="","",SUMIF($D$3:$D$268,"Inflow",$F$3:$F$268)-SUMIF($D$3:$D$268,"Outflow",$F$3:$F$268)+SUM(Bank_Accounts!$E$3:$E$22))</f>
      </c>
      <c r="J268" s="156"/>
      <c r="K268" s="64"/>
    </row>
    <row r="269" spans="1:11" x14ac:dyDescent="0.25">
      <c r="A269" s="65"/>
      <c r="B269" s="64"/>
      <c r="C269" s="64"/>
      <c r="D269" s="64"/>
      <c r="E269" s="64"/>
      <c r="F269" s="66"/>
      <c r="G269" s="64"/>
      <c r="H269" s="64"/>
      <c r="I269" s="157">
        <f>IF(A269="","",SUMIF($D$3:$D$269,"Inflow",$F$3:$F$269)-SUMIF($D$3:$D$269,"Outflow",$F$3:$F$269)+SUM(Bank_Accounts!$E$3:$E$22))</f>
      </c>
      <c r="J269" s="156"/>
      <c r="K269" s="64"/>
    </row>
    <row r="270" spans="1:11" x14ac:dyDescent="0.25">
      <c r="A270" s="65"/>
      <c r="B270" s="64"/>
      <c r="C270" s="64"/>
      <c r="D270" s="64"/>
      <c r="E270" s="64"/>
      <c r="F270" s="66"/>
      <c r="G270" s="64"/>
      <c r="H270" s="64"/>
      <c r="I270" s="157">
        <f>IF(A270="","",SUMIF($D$3:$D$270,"Inflow",$F$3:$F$270)-SUMIF($D$3:$D$270,"Outflow",$F$3:$F$270)+SUM(Bank_Accounts!$E$3:$E$22))</f>
      </c>
      <c r="J270" s="156"/>
      <c r="K270" s="64"/>
    </row>
    <row r="271" spans="1:11" x14ac:dyDescent="0.25">
      <c r="A271" s="65"/>
      <c r="B271" s="64"/>
      <c r="C271" s="64"/>
      <c r="D271" s="64"/>
      <c r="E271" s="64"/>
      <c r="F271" s="66"/>
      <c r="G271" s="64"/>
      <c r="H271" s="64"/>
      <c r="I271" s="157">
        <f>IF(A271="","",SUMIF($D$3:$D$271,"Inflow",$F$3:$F$271)-SUMIF($D$3:$D$271,"Outflow",$F$3:$F$271)+SUM(Bank_Accounts!$E$3:$E$22))</f>
      </c>
      <c r="J271" s="156"/>
      <c r="K271" s="64"/>
    </row>
    <row r="272" spans="1:11" x14ac:dyDescent="0.25">
      <c r="A272" s="65"/>
      <c r="B272" s="64"/>
      <c r="C272" s="64"/>
      <c r="D272" s="64"/>
      <c r="E272" s="64"/>
      <c r="F272" s="66"/>
      <c r="G272" s="64"/>
      <c r="H272" s="64"/>
      <c r="I272" s="157">
        <f>IF(A272="","",SUMIF($D$3:$D$272,"Inflow",$F$3:$F$272)-SUMIF($D$3:$D$272,"Outflow",$F$3:$F$272)+SUM(Bank_Accounts!$E$3:$E$22))</f>
      </c>
      <c r="J272" s="156"/>
      <c r="K272" s="64"/>
    </row>
    <row r="273" spans="1:11" x14ac:dyDescent="0.25">
      <c r="A273" s="65"/>
      <c r="B273" s="64"/>
      <c r="C273" s="64"/>
      <c r="D273" s="64"/>
      <c r="E273" s="64"/>
      <c r="F273" s="66"/>
      <c r="G273" s="64"/>
      <c r="H273" s="64"/>
      <c r="I273" s="157">
        <f>IF(A273="","",SUMIF($D$3:$D$273,"Inflow",$F$3:$F$273)-SUMIF($D$3:$D$273,"Outflow",$F$3:$F$273)+SUM(Bank_Accounts!$E$3:$E$22))</f>
      </c>
      <c r="J273" s="156"/>
      <c r="K273" s="64"/>
    </row>
    <row r="274" spans="1:11" x14ac:dyDescent="0.25">
      <c r="A274" s="65"/>
      <c r="B274" s="64"/>
      <c r="C274" s="64"/>
      <c r="D274" s="64"/>
      <c r="E274" s="64"/>
      <c r="F274" s="66"/>
      <c r="G274" s="64"/>
      <c r="H274" s="64"/>
      <c r="I274" s="157">
        <f>IF(A274="","",SUMIF($D$3:$D$274,"Inflow",$F$3:$F$274)-SUMIF($D$3:$D$274,"Outflow",$F$3:$F$274)+SUM(Bank_Accounts!$E$3:$E$22))</f>
      </c>
      <c r="J274" s="156"/>
      <c r="K274" s="64"/>
    </row>
    <row r="275" spans="1:11" x14ac:dyDescent="0.25">
      <c r="A275" s="65"/>
      <c r="B275" s="64"/>
      <c r="C275" s="64"/>
      <c r="D275" s="64"/>
      <c r="E275" s="64"/>
      <c r="F275" s="66"/>
      <c r="G275" s="64"/>
      <c r="H275" s="64"/>
      <c r="I275" s="157">
        <f>IF(A275="","",SUMIF($D$3:$D$275,"Inflow",$F$3:$F$275)-SUMIF($D$3:$D$275,"Outflow",$F$3:$F$275)+SUM(Bank_Accounts!$E$3:$E$22))</f>
      </c>
      <c r="J275" s="156"/>
      <c r="K275" s="64"/>
    </row>
    <row r="276" spans="1:11" x14ac:dyDescent="0.25">
      <c r="A276" s="65"/>
      <c r="B276" s="64"/>
      <c r="C276" s="64"/>
      <c r="D276" s="64"/>
      <c r="E276" s="64"/>
      <c r="F276" s="66"/>
      <c r="G276" s="64"/>
      <c r="H276" s="64"/>
      <c r="I276" s="157">
        <f>IF(A276="","",SUMIF($D$3:$D$276,"Inflow",$F$3:$F$276)-SUMIF($D$3:$D$276,"Outflow",$F$3:$F$276)+SUM(Bank_Accounts!$E$3:$E$22))</f>
      </c>
      <c r="J276" s="156"/>
      <c r="K276" s="64"/>
    </row>
    <row r="277" spans="1:11" x14ac:dyDescent="0.25">
      <c r="A277" s="65"/>
      <c r="B277" s="64"/>
      <c r="C277" s="64"/>
      <c r="D277" s="64"/>
      <c r="E277" s="64"/>
      <c r="F277" s="66"/>
      <c r="G277" s="64"/>
      <c r="H277" s="64"/>
      <c r="I277" s="157">
        <f>IF(A277="","",SUMIF($D$3:$D$277,"Inflow",$F$3:$F$277)-SUMIF($D$3:$D$277,"Outflow",$F$3:$F$277)+SUM(Bank_Accounts!$E$3:$E$22))</f>
      </c>
      <c r="J277" s="156"/>
      <c r="K277" s="64"/>
    </row>
    <row r="278" spans="1:11" x14ac:dyDescent="0.25">
      <c r="A278" s="65"/>
      <c r="B278" s="64"/>
      <c r="C278" s="64"/>
      <c r="D278" s="64"/>
      <c r="E278" s="64"/>
      <c r="F278" s="66"/>
      <c r="G278" s="64"/>
      <c r="H278" s="64"/>
      <c r="I278" s="157">
        <f>IF(A278="","",SUMIF($D$3:$D$278,"Inflow",$F$3:$F$278)-SUMIF($D$3:$D$278,"Outflow",$F$3:$F$278)+SUM(Bank_Accounts!$E$3:$E$22))</f>
      </c>
      <c r="J278" s="156"/>
      <c r="K278" s="64"/>
    </row>
    <row r="279" spans="1:11" x14ac:dyDescent="0.25">
      <c r="A279" s="65"/>
      <c r="B279" s="64"/>
      <c r="C279" s="64"/>
      <c r="D279" s="64"/>
      <c r="E279" s="64"/>
      <c r="F279" s="66"/>
      <c r="G279" s="64"/>
      <c r="H279" s="64"/>
      <c r="I279" s="157">
        <f>IF(A279="","",SUMIF($D$3:$D$279,"Inflow",$F$3:$F$279)-SUMIF($D$3:$D$279,"Outflow",$F$3:$F$279)+SUM(Bank_Accounts!$E$3:$E$22))</f>
      </c>
      <c r="J279" s="156"/>
      <c r="K279" s="64"/>
    </row>
    <row r="280" spans="1:11" x14ac:dyDescent="0.25">
      <c r="A280" s="65"/>
      <c r="B280" s="64"/>
      <c r="C280" s="64"/>
      <c r="D280" s="64"/>
      <c r="E280" s="64"/>
      <c r="F280" s="66"/>
      <c r="G280" s="64"/>
      <c r="H280" s="64"/>
      <c r="I280" s="157">
        <f>IF(A280="","",SUMIF($D$3:$D$280,"Inflow",$F$3:$F$280)-SUMIF($D$3:$D$280,"Outflow",$F$3:$F$280)+SUM(Bank_Accounts!$E$3:$E$22))</f>
      </c>
      <c r="J280" s="156"/>
      <c r="K280" s="64"/>
    </row>
    <row r="281" spans="1:11" x14ac:dyDescent="0.25">
      <c r="A281" s="65"/>
      <c r="B281" s="64"/>
      <c r="C281" s="64"/>
      <c r="D281" s="64"/>
      <c r="E281" s="64"/>
      <c r="F281" s="66"/>
      <c r="G281" s="64"/>
      <c r="H281" s="64"/>
      <c r="I281" s="157">
        <f>IF(A281="","",SUMIF($D$3:$D$281,"Inflow",$F$3:$F$281)-SUMIF($D$3:$D$281,"Outflow",$F$3:$F$281)+SUM(Bank_Accounts!$E$3:$E$22))</f>
      </c>
      <c r="J281" s="156"/>
      <c r="K281" s="64"/>
    </row>
    <row r="282" spans="1:11" x14ac:dyDescent="0.25">
      <c r="A282" s="65"/>
      <c r="B282" s="64"/>
      <c r="C282" s="64"/>
      <c r="D282" s="64"/>
      <c r="E282" s="64"/>
      <c r="F282" s="66"/>
      <c r="G282" s="64"/>
      <c r="H282" s="64"/>
      <c r="I282" s="157">
        <f>IF(A282="","",SUMIF($D$3:$D$282,"Inflow",$F$3:$F$282)-SUMIF($D$3:$D$282,"Outflow",$F$3:$F$282)+SUM(Bank_Accounts!$E$3:$E$22))</f>
      </c>
      <c r="J282" s="156"/>
      <c r="K282" s="64"/>
    </row>
    <row r="283" spans="1:11" x14ac:dyDescent="0.25">
      <c r="A283" s="65"/>
      <c r="B283" s="64"/>
      <c r="C283" s="64"/>
      <c r="D283" s="64"/>
      <c r="E283" s="64"/>
      <c r="F283" s="66"/>
      <c r="G283" s="64"/>
      <c r="H283" s="64"/>
      <c r="I283" s="157">
        <f>IF(A283="","",SUMIF($D$3:$D$283,"Inflow",$F$3:$F$283)-SUMIF($D$3:$D$283,"Outflow",$F$3:$F$283)+SUM(Bank_Accounts!$E$3:$E$22))</f>
      </c>
      <c r="J283" s="156"/>
      <c r="K283" s="64"/>
    </row>
    <row r="284" spans="1:11" x14ac:dyDescent="0.25">
      <c r="A284" s="65"/>
      <c r="B284" s="64"/>
      <c r="C284" s="64"/>
      <c r="D284" s="64"/>
      <c r="E284" s="64"/>
      <c r="F284" s="66"/>
      <c r="G284" s="64"/>
      <c r="H284" s="64"/>
      <c r="I284" s="157">
        <f>IF(A284="","",SUMIF($D$3:$D$284,"Inflow",$F$3:$F$284)-SUMIF($D$3:$D$284,"Outflow",$F$3:$F$284)+SUM(Bank_Accounts!$E$3:$E$22))</f>
      </c>
      <c r="J284" s="156"/>
      <c r="K284" s="64"/>
    </row>
    <row r="285" spans="1:11" x14ac:dyDescent="0.25">
      <c r="A285" s="65"/>
      <c r="B285" s="64"/>
      <c r="C285" s="64"/>
      <c r="D285" s="64"/>
      <c r="E285" s="64"/>
      <c r="F285" s="66"/>
      <c r="G285" s="64"/>
      <c r="H285" s="64"/>
      <c r="I285" s="157">
        <f>IF(A285="","",SUMIF($D$3:$D$285,"Inflow",$F$3:$F$285)-SUMIF($D$3:$D$285,"Outflow",$F$3:$F$285)+SUM(Bank_Accounts!$E$3:$E$22))</f>
      </c>
      <c r="J285" s="156"/>
      <c r="K285" s="64"/>
    </row>
    <row r="286" spans="1:11" x14ac:dyDescent="0.25">
      <c r="A286" s="65"/>
      <c r="B286" s="64"/>
      <c r="C286" s="64"/>
      <c r="D286" s="64"/>
      <c r="E286" s="64"/>
      <c r="F286" s="66"/>
      <c r="G286" s="64"/>
      <c r="H286" s="64"/>
      <c r="I286" s="157">
        <f>IF(A286="","",SUMIF($D$3:$D$286,"Inflow",$F$3:$F$286)-SUMIF($D$3:$D$286,"Outflow",$F$3:$F$286)+SUM(Bank_Accounts!$E$3:$E$22))</f>
      </c>
      <c r="J286" s="156"/>
      <c r="K286" s="64"/>
    </row>
    <row r="287" spans="1:11" x14ac:dyDescent="0.25">
      <c r="A287" s="65"/>
      <c r="B287" s="64"/>
      <c r="C287" s="64"/>
      <c r="D287" s="64"/>
      <c r="E287" s="64"/>
      <c r="F287" s="66"/>
      <c r="G287" s="64"/>
      <c r="H287" s="64"/>
      <c r="I287" s="157">
        <f>IF(A287="","",SUMIF($D$3:$D$287,"Inflow",$F$3:$F$287)-SUMIF($D$3:$D$287,"Outflow",$F$3:$F$287)+SUM(Bank_Accounts!$E$3:$E$22))</f>
      </c>
      <c r="J287" s="156"/>
      <c r="K287" s="64"/>
    </row>
    <row r="288" spans="1:11" x14ac:dyDescent="0.25">
      <c r="A288" s="65"/>
      <c r="B288" s="64"/>
      <c r="C288" s="64"/>
      <c r="D288" s="64"/>
      <c r="E288" s="64"/>
      <c r="F288" s="66"/>
      <c r="G288" s="64"/>
      <c r="H288" s="64"/>
      <c r="I288" s="157">
        <f>IF(A288="","",SUMIF($D$3:$D$288,"Inflow",$F$3:$F$288)-SUMIF($D$3:$D$288,"Outflow",$F$3:$F$288)+SUM(Bank_Accounts!$E$3:$E$22))</f>
      </c>
      <c r="J288" s="156"/>
      <c r="K288" s="64"/>
    </row>
    <row r="289" spans="1:11" x14ac:dyDescent="0.25">
      <c r="A289" s="65"/>
      <c r="B289" s="64"/>
      <c r="C289" s="64"/>
      <c r="D289" s="64"/>
      <c r="E289" s="64"/>
      <c r="F289" s="66"/>
      <c r="G289" s="64"/>
      <c r="H289" s="64"/>
      <c r="I289" s="157">
        <f>IF(A289="","",SUMIF($D$3:$D$289,"Inflow",$F$3:$F$289)-SUMIF($D$3:$D$289,"Outflow",$F$3:$F$289)+SUM(Bank_Accounts!$E$3:$E$22))</f>
      </c>
      <c r="J289" s="156"/>
      <c r="K289" s="64"/>
    </row>
    <row r="290" spans="1:11" x14ac:dyDescent="0.25">
      <c r="A290" s="65"/>
      <c r="B290" s="64"/>
      <c r="C290" s="64"/>
      <c r="D290" s="64"/>
      <c r="E290" s="64"/>
      <c r="F290" s="66"/>
      <c r="G290" s="64"/>
      <c r="H290" s="64"/>
      <c r="I290" s="157">
        <f>IF(A290="","",SUMIF($D$3:$D$290,"Inflow",$F$3:$F$290)-SUMIF($D$3:$D$290,"Outflow",$F$3:$F$290)+SUM(Bank_Accounts!$E$3:$E$22))</f>
      </c>
      <c r="J290" s="156"/>
      <c r="K290" s="64"/>
    </row>
    <row r="291" spans="1:11" x14ac:dyDescent="0.25">
      <c r="A291" s="65"/>
      <c r="B291" s="64"/>
      <c r="C291" s="64"/>
      <c r="D291" s="64"/>
      <c r="E291" s="64"/>
      <c r="F291" s="66"/>
      <c r="G291" s="64"/>
      <c r="H291" s="64"/>
      <c r="I291" s="157">
        <f>IF(A291="","",SUMIF($D$3:$D$291,"Inflow",$F$3:$F$291)-SUMIF($D$3:$D$291,"Outflow",$F$3:$F$291)+SUM(Bank_Accounts!$E$3:$E$22))</f>
      </c>
      <c r="J291" s="156"/>
      <c r="K291" s="64"/>
    </row>
    <row r="292" spans="1:11" x14ac:dyDescent="0.25">
      <c r="A292" s="65"/>
      <c r="B292" s="64"/>
      <c r="C292" s="64"/>
      <c r="D292" s="64"/>
      <c r="E292" s="64"/>
      <c r="F292" s="66"/>
      <c r="G292" s="64"/>
      <c r="H292" s="64"/>
      <c r="I292" s="157">
        <f>IF(A292="","",SUMIF($D$3:$D$292,"Inflow",$F$3:$F$292)-SUMIF($D$3:$D$292,"Outflow",$F$3:$F$292)+SUM(Bank_Accounts!$E$3:$E$22))</f>
      </c>
      <c r="J292" s="156"/>
      <c r="K292" s="64"/>
    </row>
    <row r="293" spans="1:11" x14ac:dyDescent="0.25">
      <c r="A293" s="65"/>
      <c r="B293" s="64"/>
      <c r="C293" s="64"/>
      <c r="D293" s="64"/>
      <c r="E293" s="64"/>
      <c r="F293" s="66"/>
      <c r="G293" s="64"/>
      <c r="H293" s="64"/>
      <c r="I293" s="157">
        <f>IF(A293="","",SUMIF($D$3:$D$293,"Inflow",$F$3:$F$293)-SUMIF($D$3:$D$293,"Outflow",$F$3:$F$293)+SUM(Bank_Accounts!$E$3:$E$22))</f>
      </c>
      <c r="J293" s="156"/>
      <c r="K293" s="64"/>
    </row>
    <row r="294" spans="1:11" x14ac:dyDescent="0.25">
      <c r="A294" s="65"/>
      <c r="B294" s="64"/>
      <c r="C294" s="64"/>
      <c r="D294" s="64"/>
      <c r="E294" s="64"/>
      <c r="F294" s="66"/>
      <c r="G294" s="64"/>
      <c r="H294" s="64"/>
      <c r="I294" s="157">
        <f>IF(A294="","",SUMIF($D$3:$D$294,"Inflow",$F$3:$F$294)-SUMIF($D$3:$D$294,"Outflow",$F$3:$F$294)+SUM(Bank_Accounts!$E$3:$E$22))</f>
      </c>
      <c r="J294" s="156"/>
      <c r="K294" s="64"/>
    </row>
    <row r="295" spans="1:11" x14ac:dyDescent="0.25">
      <c r="A295" s="65"/>
      <c r="B295" s="64"/>
      <c r="C295" s="64"/>
      <c r="D295" s="64"/>
      <c r="E295" s="64"/>
      <c r="F295" s="66"/>
      <c r="G295" s="64"/>
      <c r="H295" s="64"/>
      <c r="I295" s="157">
        <f>IF(A295="","",SUMIF($D$3:$D$295,"Inflow",$F$3:$F$295)-SUMIF($D$3:$D$295,"Outflow",$F$3:$F$295)+SUM(Bank_Accounts!$E$3:$E$22))</f>
      </c>
      <c r="J295" s="156"/>
      <c r="K295" s="64"/>
    </row>
    <row r="296" spans="1:11" x14ac:dyDescent="0.25">
      <c r="A296" s="65"/>
      <c r="B296" s="64"/>
      <c r="C296" s="64"/>
      <c r="D296" s="64"/>
      <c r="E296" s="64"/>
      <c r="F296" s="66"/>
      <c r="G296" s="64"/>
      <c r="H296" s="64"/>
      <c r="I296" s="157">
        <f>IF(A296="","",SUMIF($D$3:$D$296,"Inflow",$F$3:$F$296)-SUMIF($D$3:$D$296,"Outflow",$F$3:$F$296)+SUM(Bank_Accounts!$E$3:$E$22))</f>
      </c>
      <c r="J296" s="156"/>
      <c r="K296" s="64"/>
    </row>
    <row r="297" spans="1:11" x14ac:dyDescent="0.25">
      <c r="A297" s="65"/>
      <c r="B297" s="64"/>
      <c r="C297" s="64"/>
      <c r="D297" s="64"/>
      <c r="E297" s="64"/>
      <c r="F297" s="66"/>
      <c r="G297" s="64"/>
      <c r="H297" s="64"/>
      <c r="I297" s="157">
        <f>IF(A297="","",SUMIF($D$3:$D$297,"Inflow",$F$3:$F$297)-SUMIF($D$3:$D$297,"Outflow",$F$3:$F$297)+SUM(Bank_Accounts!$E$3:$E$22))</f>
      </c>
      <c r="J297" s="156"/>
      <c r="K297" s="64"/>
    </row>
    <row r="298" spans="1:11" x14ac:dyDescent="0.25">
      <c r="A298" s="65"/>
      <c r="B298" s="64"/>
      <c r="C298" s="64"/>
      <c r="D298" s="64"/>
      <c r="E298" s="64"/>
      <c r="F298" s="66"/>
      <c r="G298" s="64"/>
      <c r="H298" s="64"/>
      <c r="I298" s="157">
        <f>IF(A298="","",SUMIF($D$3:$D$298,"Inflow",$F$3:$F$298)-SUMIF($D$3:$D$298,"Outflow",$F$3:$F$298)+SUM(Bank_Accounts!$E$3:$E$22))</f>
      </c>
      <c r="J298" s="156"/>
      <c r="K298" s="64"/>
    </row>
    <row r="299" spans="1:11" x14ac:dyDescent="0.25">
      <c r="A299" s="65"/>
      <c r="B299" s="64"/>
      <c r="C299" s="64"/>
      <c r="D299" s="64"/>
      <c r="E299" s="64"/>
      <c r="F299" s="66"/>
      <c r="G299" s="64"/>
      <c r="H299" s="64"/>
      <c r="I299" s="157">
        <f>IF(A299="","",SUMIF($D$3:$D$299,"Inflow",$F$3:$F$299)-SUMIF($D$3:$D$299,"Outflow",$F$3:$F$299)+SUM(Bank_Accounts!$E$3:$E$22))</f>
      </c>
      <c r="J299" s="156"/>
      <c r="K299" s="64"/>
    </row>
    <row r="300" spans="1:11" x14ac:dyDescent="0.25">
      <c r="A300" s="65"/>
      <c r="B300" s="64"/>
      <c r="C300" s="64"/>
      <c r="D300" s="64"/>
      <c r="E300" s="64"/>
      <c r="F300" s="66"/>
      <c r="G300" s="64"/>
      <c r="H300" s="64"/>
      <c r="I300" s="157">
        <f>IF(A300="","",SUMIF($D$3:$D$300,"Inflow",$F$3:$F$300)-SUMIF($D$3:$D$300,"Outflow",$F$3:$F$300)+SUM(Bank_Accounts!$E$3:$E$22))</f>
      </c>
      <c r="J300" s="156"/>
      <c r="K300" s="64"/>
    </row>
    <row r="301" spans="1:11" x14ac:dyDescent="0.25">
      <c r="A301" s="65"/>
      <c r="B301" s="64"/>
      <c r="C301" s="64"/>
      <c r="D301" s="64"/>
      <c r="E301" s="64"/>
      <c r="F301" s="66"/>
      <c r="G301" s="64"/>
      <c r="H301" s="64"/>
      <c r="I301" s="157">
        <f>IF(A301="","",SUMIF($D$3:$D$301,"Inflow",$F$3:$F$301)-SUMIF($D$3:$D$301,"Outflow",$F$3:$F$301)+SUM(Bank_Accounts!$E$3:$E$22))</f>
      </c>
      <c r="J301" s="156"/>
      <c r="K301" s="64"/>
    </row>
    <row r="302" spans="1:11" x14ac:dyDescent="0.25">
      <c r="A302" s="65"/>
      <c r="B302" s="64"/>
      <c r="C302" s="64"/>
      <c r="D302" s="64"/>
      <c r="E302" s="64"/>
      <c r="F302" s="66"/>
      <c r="G302" s="64"/>
      <c r="H302" s="64"/>
      <c r="I302" s="157">
        <f>IF(A302="","",SUMIF($D$3:$D$302,"Inflow",$F$3:$F$302)-SUMIF($D$3:$D$302,"Outflow",$F$3:$F$302)+SUM(Bank_Accounts!$E$3:$E$22))</f>
      </c>
      <c r="J302" s="156"/>
      <c r="K302" s="64"/>
    </row>
    <row r="303" spans="1:11" x14ac:dyDescent="0.25">
      <c r="A303" s="65"/>
      <c r="B303" s="64"/>
      <c r="C303" s="64"/>
      <c r="D303" s="64"/>
      <c r="E303" s="64"/>
      <c r="F303" s="66"/>
      <c r="G303" s="64"/>
      <c r="H303" s="64"/>
      <c r="I303" s="157">
        <f>IF(A303="","",SUMIF($D$3:$D$303,"Inflow",$F$3:$F$303)-SUMIF($D$3:$D$303,"Outflow",$F$3:$F$303)+SUM(Bank_Accounts!$E$3:$E$22))</f>
      </c>
      <c r="J303" s="156"/>
      <c r="K303" s="64"/>
    </row>
    <row r="304" spans="1:11" x14ac:dyDescent="0.25">
      <c r="A304" s="65"/>
      <c r="B304" s="64"/>
      <c r="C304" s="64"/>
      <c r="D304" s="64"/>
      <c r="E304" s="64"/>
      <c r="F304" s="66"/>
      <c r="G304" s="64"/>
      <c r="H304" s="64"/>
      <c r="I304" s="157">
        <f>IF(A304="","",SUMIF($D$3:$D$304,"Inflow",$F$3:$F$304)-SUMIF($D$3:$D$304,"Outflow",$F$3:$F$304)+SUM(Bank_Accounts!$E$3:$E$22))</f>
      </c>
      <c r="J304" s="156"/>
      <c r="K304" s="64"/>
    </row>
    <row r="305" spans="1:11" x14ac:dyDescent="0.25">
      <c r="A305" s="65"/>
      <c r="B305" s="64"/>
      <c r="C305" s="64"/>
      <c r="D305" s="64"/>
      <c r="E305" s="64"/>
      <c r="F305" s="66"/>
      <c r="G305" s="64"/>
      <c r="H305" s="64"/>
      <c r="I305" s="157">
        <f>IF(A305="","",SUMIF($D$3:$D$305,"Inflow",$F$3:$F$305)-SUMIF($D$3:$D$305,"Outflow",$F$3:$F$305)+SUM(Bank_Accounts!$E$3:$E$22))</f>
      </c>
      <c r="J305" s="156"/>
      <c r="K305" s="64"/>
    </row>
    <row r="306" spans="1:11" x14ac:dyDescent="0.25">
      <c r="A306" s="65"/>
      <c r="B306" s="64"/>
      <c r="C306" s="64"/>
      <c r="D306" s="64"/>
      <c r="E306" s="64"/>
      <c r="F306" s="66"/>
      <c r="G306" s="64"/>
      <c r="H306" s="64"/>
      <c r="I306" s="157">
        <f>IF(A306="","",SUMIF($D$3:$D$306,"Inflow",$F$3:$F$306)-SUMIF($D$3:$D$306,"Outflow",$F$3:$F$306)+SUM(Bank_Accounts!$E$3:$E$22))</f>
      </c>
      <c r="J306" s="156"/>
      <c r="K306" s="64"/>
    </row>
    <row r="307" spans="1:11" x14ac:dyDescent="0.25">
      <c r="A307" s="65"/>
      <c r="B307" s="64"/>
      <c r="C307" s="64"/>
      <c r="D307" s="64"/>
      <c r="E307" s="64"/>
      <c r="F307" s="66"/>
      <c r="G307" s="64"/>
      <c r="H307" s="64"/>
      <c r="I307" s="157">
        <f>IF(A307="","",SUMIF($D$3:$D$307,"Inflow",$F$3:$F$307)-SUMIF($D$3:$D$307,"Outflow",$F$3:$F$307)+SUM(Bank_Accounts!$E$3:$E$22))</f>
      </c>
      <c r="J307" s="156"/>
      <c r="K307" s="64"/>
    </row>
    <row r="308" spans="1:11" x14ac:dyDescent="0.25">
      <c r="A308" s="65"/>
      <c r="B308" s="64"/>
      <c r="C308" s="64"/>
      <c r="D308" s="64"/>
      <c r="E308" s="64"/>
      <c r="F308" s="66"/>
      <c r="G308" s="64"/>
      <c r="H308" s="64"/>
      <c r="I308" s="157">
        <f>IF(A308="","",SUMIF($D$3:$D$308,"Inflow",$F$3:$F$308)-SUMIF($D$3:$D$308,"Outflow",$F$3:$F$308)+SUM(Bank_Accounts!$E$3:$E$22))</f>
      </c>
      <c r="J308" s="156"/>
      <c r="K308" s="64"/>
    </row>
    <row r="309" spans="1:11" x14ac:dyDescent="0.25">
      <c r="A309" s="65"/>
      <c r="B309" s="64"/>
      <c r="C309" s="64"/>
      <c r="D309" s="64"/>
      <c r="E309" s="64"/>
      <c r="F309" s="66"/>
      <c r="G309" s="64"/>
      <c r="H309" s="64"/>
      <c r="I309" s="157">
        <f>IF(A309="","",SUMIF($D$3:$D$309,"Inflow",$F$3:$F$309)-SUMIF($D$3:$D$309,"Outflow",$F$3:$F$309)+SUM(Bank_Accounts!$E$3:$E$22))</f>
      </c>
      <c r="J309" s="156"/>
      <c r="K309" s="64"/>
    </row>
    <row r="310" spans="1:11" x14ac:dyDescent="0.25">
      <c r="A310" s="65"/>
      <c r="B310" s="64"/>
      <c r="C310" s="64"/>
      <c r="D310" s="64"/>
      <c r="E310" s="64"/>
      <c r="F310" s="66"/>
      <c r="G310" s="64"/>
      <c r="H310" s="64"/>
      <c r="I310" s="157">
        <f>IF(A310="","",SUMIF($D$3:$D$310,"Inflow",$F$3:$F$310)-SUMIF($D$3:$D$310,"Outflow",$F$3:$F$310)+SUM(Bank_Accounts!$E$3:$E$22))</f>
      </c>
      <c r="J310" s="156"/>
      <c r="K310" s="64"/>
    </row>
    <row r="311" spans="1:11" x14ac:dyDescent="0.25">
      <c r="A311" s="65"/>
      <c r="B311" s="64"/>
      <c r="C311" s="64"/>
      <c r="D311" s="64"/>
      <c r="E311" s="64"/>
      <c r="F311" s="66"/>
      <c r="G311" s="64"/>
      <c r="H311" s="64"/>
      <c r="I311" s="157">
        <f>IF(A311="","",SUMIF($D$3:$D$311,"Inflow",$F$3:$F$311)-SUMIF($D$3:$D$311,"Outflow",$F$3:$F$311)+SUM(Bank_Accounts!$E$3:$E$22))</f>
      </c>
      <c r="J311" s="156"/>
      <c r="K311" s="64"/>
    </row>
    <row r="312" spans="1:11" x14ac:dyDescent="0.25">
      <c r="A312" s="65"/>
      <c r="B312" s="64"/>
      <c r="C312" s="64"/>
      <c r="D312" s="64"/>
      <c r="E312" s="64"/>
      <c r="F312" s="66"/>
      <c r="G312" s="64"/>
      <c r="H312" s="64"/>
      <c r="I312" s="157">
        <f>IF(A312="","",SUMIF($D$3:$D$312,"Inflow",$F$3:$F$312)-SUMIF($D$3:$D$312,"Outflow",$F$3:$F$312)+SUM(Bank_Accounts!$E$3:$E$22))</f>
      </c>
      <c r="J312" s="156"/>
      <c r="K312" s="64"/>
    </row>
    <row r="313" spans="1:11" x14ac:dyDescent="0.25">
      <c r="A313" s="65"/>
      <c r="B313" s="64"/>
      <c r="C313" s="64"/>
      <c r="D313" s="64"/>
      <c r="E313" s="64"/>
      <c r="F313" s="66"/>
      <c r="G313" s="64"/>
      <c r="H313" s="64"/>
      <c r="I313" s="157">
        <f>IF(A313="","",SUMIF($D$3:$D$313,"Inflow",$F$3:$F$313)-SUMIF($D$3:$D$313,"Outflow",$F$3:$F$313)+SUM(Bank_Accounts!$E$3:$E$22))</f>
      </c>
      <c r="J313" s="156"/>
      <c r="K313" s="64"/>
    </row>
    <row r="314" spans="1:11" x14ac:dyDescent="0.25">
      <c r="A314" s="65"/>
      <c r="B314" s="64"/>
      <c r="C314" s="64"/>
      <c r="D314" s="64"/>
      <c r="E314" s="64"/>
      <c r="F314" s="66"/>
      <c r="G314" s="64"/>
      <c r="H314" s="64"/>
      <c r="I314" s="157">
        <f>IF(A314="","",SUMIF($D$3:$D$314,"Inflow",$F$3:$F$314)-SUMIF($D$3:$D$314,"Outflow",$F$3:$F$314)+SUM(Bank_Accounts!$E$3:$E$22))</f>
      </c>
      <c r="J314" s="156"/>
      <c r="K314" s="64"/>
    </row>
    <row r="315" spans="1:11" x14ac:dyDescent="0.25">
      <c r="A315" s="65"/>
      <c r="B315" s="64"/>
      <c r="C315" s="64"/>
      <c r="D315" s="64"/>
      <c r="E315" s="64"/>
      <c r="F315" s="66"/>
      <c r="G315" s="64"/>
      <c r="H315" s="64"/>
      <c r="I315" s="157">
        <f>IF(A315="","",SUMIF($D$3:$D$315,"Inflow",$F$3:$F$315)-SUMIF($D$3:$D$315,"Outflow",$F$3:$F$315)+SUM(Bank_Accounts!$E$3:$E$22))</f>
      </c>
      <c r="J315" s="156"/>
      <c r="K315" s="64"/>
    </row>
    <row r="316" spans="1:11" x14ac:dyDescent="0.25">
      <c r="A316" s="65"/>
      <c r="B316" s="64"/>
      <c r="C316" s="64"/>
      <c r="D316" s="64"/>
      <c r="E316" s="64"/>
      <c r="F316" s="66"/>
      <c r="G316" s="64"/>
      <c r="H316" s="64"/>
      <c r="I316" s="157">
        <f>IF(A316="","",SUMIF($D$3:$D$316,"Inflow",$F$3:$F$316)-SUMIF($D$3:$D$316,"Outflow",$F$3:$F$316)+SUM(Bank_Accounts!$E$3:$E$22))</f>
      </c>
      <c r="J316" s="156"/>
      <c r="K316" s="64"/>
    </row>
    <row r="317" spans="1:11" x14ac:dyDescent="0.25">
      <c r="A317" s="65"/>
      <c r="B317" s="64"/>
      <c r="C317" s="64"/>
      <c r="D317" s="64"/>
      <c r="E317" s="64"/>
      <c r="F317" s="66"/>
      <c r="G317" s="64"/>
      <c r="H317" s="64"/>
      <c r="I317" s="157">
        <f>IF(A317="","",SUMIF($D$3:$D$317,"Inflow",$F$3:$F$317)-SUMIF($D$3:$D$317,"Outflow",$F$3:$F$317)+SUM(Bank_Accounts!$E$3:$E$22))</f>
      </c>
      <c r="J317" s="156"/>
      <c r="K317" s="64"/>
    </row>
    <row r="318" spans="1:11" x14ac:dyDescent="0.25">
      <c r="A318" s="65"/>
      <c r="B318" s="64"/>
      <c r="C318" s="64"/>
      <c r="D318" s="64"/>
      <c r="E318" s="64"/>
      <c r="F318" s="66"/>
      <c r="G318" s="64"/>
      <c r="H318" s="64"/>
      <c r="I318" s="157">
        <f>IF(A318="","",SUMIF($D$3:$D$318,"Inflow",$F$3:$F$318)-SUMIF($D$3:$D$318,"Outflow",$F$3:$F$318)+SUM(Bank_Accounts!$E$3:$E$22))</f>
      </c>
      <c r="J318" s="156"/>
      <c r="K318" s="64"/>
    </row>
    <row r="319" spans="1:11" x14ac:dyDescent="0.25">
      <c r="A319" s="65"/>
      <c r="B319" s="64"/>
      <c r="C319" s="64"/>
      <c r="D319" s="64"/>
      <c r="E319" s="64"/>
      <c r="F319" s="66"/>
      <c r="G319" s="64"/>
      <c r="H319" s="64"/>
      <c r="I319" s="157">
        <f>IF(A319="","",SUMIF($D$3:$D$319,"Inflow",$F$3:$F$319)-SUMIF($D$3:$D$319,"Outflow",$F$3:$F$319)+SUM(Bank_Accounts!$E$3:$E$22))</f>
      </c>
      <c r="J319" s="156"/>
      <c r="K319" s="64"/>
    </row>
    <row r="320" spans="1:11" x14ac:dyDescent="0.25">
      <c r="A320" s="65"/>
      <c r="B320" s="64"/>
      <c r="C320" s="64"/>
      <c r="D320" s="64"/>
      <c r="E320" s="64"/>
      <c r="F320" s="66"/>
      <c r="G320" s="64"/>
      <c r="H320" s="64"/>
      <c r="I320" s="157">
        <f>IF(A320="","",SUMIF($D$3:$D$320,"Inflow",$F$3:$F$320)-SUMIF($D$3:$D$320,"Outflow",$F$3:$F$320)+SUM(Bank_Accounts!$E$3:$E$22))</f>
      </c>
      <c r="J320" s="156"/>
      <c r="K320" s="64"/>
    </row>
    <row r="321" spans="1:11" x14ac:dyDescent="0.25">
      <c r="A321" s="65"/>
      <c r="B321" s="64"/>
      <c r="C321" s="64"/>
      <c r="D321" s="64"/>
      <c r="E321" s="64"/>
      <c r="F321" s="66"/>
      <c r="G321" s="64"/>
      <c r="H321" s="64"/>
      <c r="I321" s="157">
        <f>IF(A321="","",SUMIF($D$3:$D$321,"Inflow",$F$3:$F$321)-SUMIF($D$3:$D$321,"Outflow",$F$3:$F$321)+SUM(Bank_Accounts!$E$3:$E$22))</f>
      </c>
      <c r="J321" s="156"/>
      <c r="K321" s="64"/>
    </row>
    <row r="322" spans="1:11" x14ac:dyDescent="0.25">
      <c r="A322" s="65"/>
      <c r="B322" s="64"/>
      <c r="C322" s="64"/>
      <c r="D322" s="64"/>
      <c r="E322" s="64"/>
      <c r="F322" s="66"/>
      <c r="G322" s="64"/>
      <c r="H322" s="64"/>
      <c r="I322" s="157">
        <f>IF(A322="","",SUMIF($D$3:$D$322,"Inflow",$F$3:$F$322)-SUMIF($D$3:$D$322,"Outflow",$F$3:$F$322)+SUM(Bank_Accounts!$E$3:$E$22))</f>
      </c>
      <c r="J322" s="156"/>
      <c r="K322" s="64"/>
    </row>
    <row r="323" spans="1:11" x14ac:dyDescent="0.25">
      <c r="A323" s="65"/>
      <c r="B323" s="64"/>
      <c r="C323" s="64"/>
      <c r="D323" s="64"/>
      <c r="E323" s="64"/>
      <c r="F323" s="66"/>
      <c r="G323" s="64"/>
      <c r="H323" s="64"/>
      <c r="I323" s="157">
        <f>IF(A323="","",SUMIF($D$3:$D$323,"Inflow",$F$3:$F$323)-SUMIF($D$3:$D$323,"Outflow",$F$3:$F$323)+SUM(Bank_Accounts!$E$3:$E$22))</f>
      </c>
      <c r="J323" s="156"/>
      <c r="K323" s="64"/>
    </row>
    <row r="324" spans="1:11" x14ac:dyDescent="0.25">
      <c r="A324" s="65"/>
      <c r="B324" s="64"/>
      <c r="C324" s="64"/>
      <c r="D324" s="64"/>
      <c r="E324" s="64"/>
      <c r="F324" s="66"/>
      <c r="G324" s="64"/>
      <c r="H324" s="64"/>
      <c r="I324" s="157">
        <f>IF(A324="","",SUMIF($D$3:$D$324,"Inflow",$F$3:$F$324)-SUMIF($D$3:$D$324,"Outflow",$F$3:$F$324)+SUM(Bank_Accounts!$E$3:$E$22))</f>
      </c>
      <c r="J324" s="156"/>
      <c r="K324" s="64"/>
    </row>
    <row r="325" spans="1:11" x14ac:dyDescent="0.25">
      <c r="A325" s="65"/>
      <c r="B325" s="64"/>
      <c r="C325" s="64"/>
      <c r="D325" s="64"/>
      <c r="E325" s="64"/>
      <c r="F325" s="66"/>
      <c r="G325" s="64"/>
      <c r="H325" s="64"/>
      <c r="I325" s="157">
        <f>IF(A325="","",SUMIF($D$3:$D$325,"Inflow",$F$3:$F$325)-SUMIF($D$3:$D$325,"Outflow",$F$3:$F$325)+SUM(Bank_Accounts!$E$3:$E$22))</f>
      </c>
      <c r="J325" s="156"/>
      <c r="K325" s="64"/>
    </row>
    <row r="326" spans="1:11" x14ac:dyDescent="0.25">
      <c r="A326" s="65"/>
      <c r="B326" s="64"/>
      <c r="C326" s="64"/>
      <c r="D326" s="64"/>
      <c r="E326" s="64"/>
      <c r="F326" s="66"/>
      <c r="G326" s="64"/>
      <c r="H326" s="64"/>
      <c r="I326" s="157">
        <f>IF(A326="","",SUMIF($D$3:$D$326,"Inflow",$F$3:$F$326)-SUMIF($D$3:$D$326,"Outflow",$F$3:$F$326)+SUM(Bank_Accounts!$E$3:$E$22))</f>
      </c>
      <c r="J326" s="156"/>
      <c r="K326" s="64"/>
    </row>
    <row r="327" spans="1:11" x14ac:dyDescent="0.25">
      <c r="A327" s="65"/>
      <c r="B327" s="64"/>
      <c r="C327" s="64"/>
      <c r="D327" s="64"/>
      <c r="E327" s="64"/>
      <c r="F327" s="66"/>
      <c r="G327" s="64"/>
      <c r="H327" s="64"/>
      <c r="I327" s="157">
        <f>IF(A327="","",SUMIF($D$3:$D$327,"Inflow",$F$3:$F$327)-SUMIF($D$3:$D$327,"Outflow",$F$3:$F$327)+SUM(Bank_Accounts!$E$3:$E$22))</f>
      </c>
      <c r="J327" s="156"/>
      <c r="K327" s="64"/>
    </row>
    <row r="328" spans="1:11" x14ac:dyDescent="0.25">
      <c r="A328" s="65"/>
      <c r="B328" s="64"/>
      <c r="C328" s="64"/>
      <c r="D328" s="64"/>
      <c r="E328" s="64"/>
      <c r="F328" s="66"/>
      <c r="G328" s="64"/>
      <c r="H328" s="64"/>
      <c r="I328" s="157">
        <f>IF(A328="","",SUMIF($D$3:$D$328,"Inflow",$F$3:$F$328)-SUMIF($D$3:$D$328,"Outflow",$F$3:$F$328)+SUM(Bank_Accounts!$E$3:$E$22))</f>
      </c>
      <c r="J328" s="156"/>
      <c r="K328" s="64"/>
    </row>
    <row r="329" spans="1:11" x14ac:dyDescent="0.25">
      <c r="A329" s="65"/>
      <c r="B329" s="64"/>
      <c r="C329" s="64"/>
      <c r="D329" s="64"/>
      <c r="E329" s="64"/>
      <c r="F329" s="66"/>
      <c r="G329" s="64"/>
      <c r="H329" s="64"/>
      <c r="I329" s="157">
        <f>IF(A329="","",SUMIF($D$3:$D$329,"Inflow",$F$3:$F$329)-SUMIF($D$3:$D$329,"Outflow",$F$3:$F$329)+SUM(Bank_Accounts!$E$3:$E$22))</f>
      </c>
      <c r="J329" s="156"/>
      <c r="K329" s="64"/>
    </row>
    <row r="330" spans="1:11" x14ac:dyDescent="0.25">
      <c r="A330" s="65"/>
      <c r="B330" s="64"/>
      <c r="C330" s="64"/>
      <c r="D330" s="64"/>
      <c r="E330" s="64"/>
      <c r="F330" s="66"/>
      <c r="G330" s="64"/>
      <c r="H330" s="64"/>
      <c r="I330" s="157">
        <f>IF(A330="","",SUMIF($D$3:$D$330,"Inflow",$F$3:$F$330)-SUMIF($D$3:$D$330,"Outflow",$F$3:$F$330)+SUM(Bank_Accounts!$E$3:$E$22))</f>
      </c>
      <c r="J330" s="156"/>
      <c r="K330" s="64"/>
    </row>
    <row r="331" spans="1:11" x14ac:dyDescent="0.25">
      <c r="A331" s="65"/>
      <c r="B331" s="64"/>
      <c r="C331" s="64"/>
      <c r="D331" s="64"/>
      <c r="E331" s="64"/>
      <c r="F331" s="66"/>
      <c r="G331" s="64"/>
      <c r="H331" s="64"/>
      <c r="I331" s="157">
        <f>IF(A331="","",SUMIF($D$3:$D$331,"Inflow",$F$3:$F$331)-SUMIF($D$3:$D$331,"Outflow",$F$3:$F$331)+SUM(Bank_Accounts!$E$3:$E$22))</f>
      </c>
      <c r="J331" s="156"/>
      <c r="K331" s="64"/>
    </row>
    <row r="332" spans="1:11" x14ac:dyDescent="0.25">
      <c r="A332" s="65"/>
      <c r="B332" s="64"/>
      <c r="C332" s="64"/>
      <c r="D332" s="64"/>
      <c r="E332" s="64"/>
      <c r="F332" s="66"/>
      <c r="G332" s="64"/>
      <c r="H332" s="64"/>
      <c r="I332" s="157">
        <f>IF(A332="","",SUMIF($D$3:$D$332,"Inflow",$F$3:$F$332)-SUMIF($D$3:$D$332,"Outflow",$F$3:$F$332)+SUM(Bank_Accounts!$E$3:$E$22))</f>
      </c>
      <c r="J332" s="156"/>
      <c r="K332" s="64"/>
    </row>
    <row r="333" spans="1:11" x14ac:dyDescent="0.25">
      <c r="A333" s="65"/>
      <c r="B333" s="64"/>
      <c r="C333" s="64"/>
      <c r="D333" s="64"/>
      <c r="E333" s="64"/>
      <c r="F333" s="66"/>
      <c r="G333" s="64"/>
      <c r="H333" s="64"/>
      <c r="I333" s="157">
        <f>IF(A333="","",SUMIF($D$3:$D$333,"Inflow",$F$3:$F$333)-SUMIF($D$3:$D$333,"Outflow",$F$3:$F$333)+SUM(Bank_Accounts!$E$3:$E$22))</f>
      </c>
      <c r="J333" s="156"/>
      <c r="K333" s="64"/>
    </row>
    <row r="334" spans="1:11" x14ac:dyDescent="0.25">
      <c r="A334" s="65"/>
      <c r="B334" s="64"/>
      <c r="C334" s="64"/>
      <c r="D334" s="64"/>
      <c r="E334" s="64"/>
      <c r="F334" s="66"/>
      <c r="G334" s="64"/>
      <c r="H334" s="64"/>
      <c r="I334" s="157">
        <f>IF(A334="","",SUMIF($D$3:$D$334,"Inflow",$F$3:$F$334)-SUMIF($D$3:$D$334,"Outflow",$F$3:$F$334)+SUM(Bank_Accounts!$E$3:$E$22))</f>
      </c>
      <c r="J334" s="156"/>
      <c r="K334" s="64"/>
    </row>
    <row r="335" spans="1:11" x14ac:dyDescent="0.25">
      <c r="A335" s="65"/>
      <c r="B335" s="64"/>
      <c r="C335" s="64"/>
      <c r="D335" s="64"/>
      <c r="E335" s="64"/>
      <c r="F335" s="66"/>
      <c r="G335" s="64"/>
      <c r="H335" s="64"/>
      <c r="I335" s="157">
        <f>IF(A335="","",SUMIF($D$3:$D$335,"Inflow",$F$3:$F$335)-SUMIF($D$3:$D$335,"Outflow",$F$3:$F$335)+SUM(Bank_Accounts!$E$3:$E$22))</f>
      </c>
      <c r="J335" s="156"/>
      <c r="K335" s="64"/>
    </row>
    <row r="336" spans="1:11" x14ac:dyDescent="0.25">
      <c r="A336" s="65"/>
      <c r="B336" s="64"/>
      <c r="C336" s="64"/>
      <c r="D336" s="64"/>
      <c r="E336" s="64"/>
      <c r="F336" s="66"/>
      <c r="G336" s="64"/>
      <c r="H336" s="64"/>
      <c r="I336" s="157">
        <f>IF(A336="","",SUMIF($D$3:$D$336,"Inflow",$F$3:$F$336)-SUMIF($D$3:$D$336,"Outflow",$F$3:$F$336)+SUM(Bank_Accounts!$E$3:$E$22))</f>
      </c>
      <c r="J336" s="156"/>
      <c r="K336" s="64"/>
    </row>
    <row r="337" spans="1:11" x14ac:dyDescent="0.25">
      <c r="A337" s="65"/>
      <c r="B337" s="64"/>
      <c r="C337" s="64"/>
      <c r="D337" s="64"/>
      <c r="E337" s="64"/>
      <c r="F337" s="66"/>
      <c r="G337" s="64"/>
      <c r="H337" s="64"/>
      <c r="I337" s="157">
        <f>IF(A337="","",SUMIF($D$3:$D$337,"Inflow",$F$3:$F$337)-SUMIF($D$3:$D$337,"Outflow",$F$3:$F$337)+SUM(Bank_Accounts!$E$3:$E$22))</f>
      </c>
      <c r="J337" s="156"/>
      <c r="K337" s="64"/>
    </row>
    <row r="338" spans="1:11" x14ac:dyDescent="0.25">
      <c r="A338" s="65"/>
      <c r="B338" s="64"/>
      <c r="C338" s="64"/>
      <c r="D338" s="64"/>
      <c r="E338" s="64"/>
      <c r="F338" s="66"/>
      <c r="G338" s="64"/>
      <c r="H338" s="64"/>
      <c r="I338" s="157">
        <f>IF(A338="","",SUMIF($D$3:$D$338,"Inflow",$F$3:$F$338)-SUMIF($D$3:$D$338,"Outflow",$F$3:$F$338)+SUM(Bank_Accounts!$E$3:$E$22))</f>
      </c>
      <c r="J338" s="156"/>
      <c r="K338" s="64"/>
    </row>
    <row r="339" spans="1:11" x14ac:dyDescent="0.25">
      <c r="A339" s="65"/>
      <c r="B339" s="64"/>
      <c r="C339" s="64"/>
      <c r="D339" s="64"/>
      <c r="E339" s="64"/>
      <c r="F339" s="66"/>
      <c r="G339" s="64"/>
      <c r="H339" s="64"/>
      <c r="I339" s="157">
        <f>IF(A339="","",SUMIF($D$3:$D$339,"Inflow",$F$3:$F$339)-SUMIF($D$3:$D$339,"Outflow",$F$3:$F$339)+SUM(Bank_Accounts!$E$3:$E$22))</f>
      </c>
      <c r="J339" s="156"/>
      <c r="K339" s="64"/>
    </row>
    <row r="340" spans="1:11" x14ac:dyDescent="0.25">
      <c r="A340" s="65"/>
      <c r="B340" s="64"/>
      <c r="C340" s="64"/>
      <c r="D340" s="64"/>
      <c r="E340" s="64"/>
      <c r="F340" s="66"/>
      <c r="G340" s="64"/>
      <c r="H340" s="64"/>
      <c r="I340" s="157">
        <f>IF(A340="","",SUMIF($D$3:$D$340,"Inflow",$F$3:$F$340)-SUMIF($D$3:$D$340,"Outflow",$F$3:$F$340)+SUM(Bank_Accounts!$E$3:$E$22))</f>
      </c>
      <c r="J340" s="156"/>
      <c r="K340" s="64"/>
    </row>
    <row r="341" spans="1:11" x14ac:dyDescent="0.25">
      <c r="A341" s="65"/>
      <c r="B341" s="64"/>
      <c r="C341" s="64"/>
      <c r="D341" s="64"/>
      <c r="E341" s="64"/>
      <c r="F341" s="66"/>
      <c r="G341" s="64"/>
      <c r="H341" s="64"/>
      <c r="I341" s="157">
        <f>IF(A341="","",SUMIF($D$3:$D$341,"Inflow",$F$3:$F$341)-SUMIF($D$3:$D$341,"Outflow",$F$3:$F$341)+SUM(Bank_Accounts!$E$3:$E$22))</f>
      </c>
      <c r="J341" s="156"/>
      <c r="K341" s="64"/>
    </row>
    <row r="342" spans="1:11" x14ac:dyDescent="0.25">
      <c r="A342" s="65"/>
      <c r="B342" s="64"/>
      <c r="C342" s="64"/>
      <c r="D342" s="64"/>
      <c r="E342" s="64"/>
      <c r="F342" s="66"/>
      <c r="G342" s="64"/>
      <c r="H342" s="64"/>
      <c r="I342" s="157">
        <f>IF(A342="","",SUMIF($D$3:$D$342,"Inflow",$F$3:$F$342)-SUMIF($D$3:$D$342,"Outflow",$F$3:$F$342)+SUM(Bank_Accounts!$E$3:$E$22))</f>
      </c>
      <c r="J342" s="156"/>
      <c r="K342" s="64"/>
    </row>
    <row r="343" spans="1:11" x14ac:dyDescent="0.25">
      <c r="A343" s="65"/>
      <c r="B343" s="64"/>
      <c r="C343" s="64"/>
      <c r="D343" s="64"/>
      <c r="E343" s="64"/>
      <c r="F343" s="66"/>
      <c r="G343" s="64"/>
      <c r="H343" s="64"/>
      <c r="I343" s="157">
        <f>IF(A343="","",SUMIF($D$3:$D$343,"Inflow",$F$3:$F$343)-SUMIF($D$3:$D$343,"Outflow",$F$3:$F$343)+SUM(Bank_Accounts!$E$3:$E$22))</f>
      </c>
      <c r="J343" s="156"/>
      <c r="K343" s="64"/>
    </row>
    <row r="344" spans="1:11" x14ac:dyDescent="0.25">
      <c r="A344" s="65"/>
      <c r="B344" s="64"/>
      <c r="C344" s="64"/>
      <c r="D344" s="64"/>
      <c r="E344" s="64"/>
      <c r="F344" s="66"/>
      <c r="G344" s="64"/>
      <c r="H344" s="64"/>
      <c r="I344" s="157">
        <f>IF(A344="","",SUMIF($D$3:$D$344,"Inflow",$F$3:$F$344)-SUMIF($D$3:$D$344,"Outflow",$F$3:$F$344)+SUM(Bank_Accounts!$E$3:$E$22))</f>
      </c>
      <c r="J344" s="156"/>
      <c r="K344" s="64"/>
    </row>
    <row r="345" spans="1:11" x14ac:dyDescent="0.25">
      <c r="A345" s="65"/>
      <c r="B345" s="64"/>
      <c r="C345" s="64"/>
      <c r="D345" s="64"/>
      <c r="E345" s="64"/>
      <c r="F345" s="66"/>
      <c r="G345" s="64"/>
      <c r="H345" s="64"/>
      <c r="I345" s="157">
        <f>IF(A345="","",SUMIF($D$3:$D$345,"Inflow",$F$3:$F$345)-SUMIF($D$3:$D$345,"Outflow",$F$3:$F$345)+SUM(Bank_Accounts!$E$3:$E$22))</f>
      </c>
      <c r="J345" s="156"/>
      <c r="K345" s="64"/>
    </row>
    <row r="346" spans="1:11" x14ac:dyDescent="0.25">
      <c r="A346" s="65"/>
      <c r="B346" s="64"/>
      <c r="C346" s="64"/>
      <c r="D346" s="64"/>
      <c r="E346" s="64"/>
      <c r="F346" s="66"/>
      <c r="G346" s="64"/>
      <c r="H346" s="64"/>
      <c r="I346" s="157">
        <f>IF(A346="","",SUMIF($D$3:$D$346,"Inflow",$F$3:$F$346)-SUMIF($D$3:$D$346,"Outflow",$F$3:$F$346)+SUM(Bank_Accounts!$E$3:$E$22))</f>
      </c>
      <c r="J346" s="156"/>
      <c r="K346" s="64"/>
    </row>
    <row r="347" spans="1:11" x14ac:dyDescent="0.25">
      <c r="A347" s="65"/>
      <c r="B347" s="64"/>
      <c r="C347" s="64"/>
      <c r="D347" s="64"/>
      <c r="E347" s="64"/>
      <c r="F347" s="66"/>
      <c r="G347" s="64"/>
      <c r="H347" s="64"/>
      <c r="I347" s="157">
        <f>IF(A347="","",SUMIF($D$3:$D$347,"Inflow",$F$3:$F$347)-SUMIF($D$3:$D$347,"Outflow",$F$3:$F$347)+SUM(Bank_Accounts!$E$3:$E$22))</f>
      </c>
      <c r="J347" s="156"/>
      <c r="K347" s="64"/>
    </row>
    <row r="348" spans="1:11" x14ac:dyDescent="0.25">
      <c r="A348" s="65"/>
      <c r="B348" s="64"/>
      <c r="C348" s="64"/>
      <c r="D348" s="64"/>
      <c r="E348" s="64"/>
      <c r="F348" s="66"/>
      <c r="G348" s="64"/>
      <c r="H348" s="64"/>
      <c r="I348" s="157">
        <f>IF(A348="","",SUMIF($D$3:$D$348,"Inflow",$F$3:$F$348)-SUMIF($D$3:$D$348,"Outflow",$F$3:$F$348)+SUM(Bank_Accounts!$E$3:$E$22))</f>
      </c>
      <c r="J348" s="156"/>
      <c r="K348" s="64"/>
    </row>
    <row r="349" spans="1:11" x14ac:dyDescent="0.25">
      <c r="A349" s="65"/>
      <c r="B349" s="64"/>
      <c r="C349" s="64"/>
      <c r="D349" s="64"/>
      <c r="E349" s="64"/>
      <c r="F349" s="66"/>
      <c r="G349" s="64"/>
      <c r="H349" s="64"/>
      <c r="I349" s="157">
        <f>IF(A349="","",SUMIF($D$3:$D$349,"Inflow",$F$3:$F$349)-SUMIF($D$3:$D$349,"Outflow",$F$3:$F$349)+SUM(Bank_Accounts!$E$3:$E$22))</f>
      </c>
      <c r="J349" s="156"/>
      <c r="K349" s="64"/>
    </row>
    <row r="350" spans="1:11" x14ac:dyDescent="0.25">
      <c r="A350" s="65"/>
      <c r="B350" s="64"/>
      <c r="C350" s="64"/>
      <c r="D350" s="64"/>
      <c r="E350" s="64"/>
      <c r="F350" s="66"/>
      <c r="G350" s="64"/>
      <c r="H350" s="64"/>
      <c r="I350" s="157">
        <f>IF(A350="","",SUMIF($D$3:$D$350,"Inflow",$F$3:$F$350)-SUMIF($D$3:$D$350,"Outflow",$F$3:$F$350)+SUM(Bank_Accounts!$E$3:$E$22))</f>
      </c>
      <c r="J350" s="156"/>
      <c r="K350" s="64"/>
    </row>
    <row r="351" spans="1:11" x14ac:dyDescent="0.25">
      <c r="A351" s="65"/>
      <c r="B351" s="64"/>
      <c r="C351" s="64"/>
      <c r="D351" s="64"/>
      <c r="E351" s="64"/>
      <c r="F351" s="66"/>
      <c r="G351" s="64"/>
      <c r="H351" s="64"/>
      <c r="I351" s="157">
        <f>IF(A351="","",SUMIF($D$3:$D$351,"Inflow",$F$3:$F$351)-SUMIF($D$3:$D$351,"Outflow",$F$3:$F$351)+SUM(Bank_Accounts!$E$3:$E$22))</f>
      </c>
      <c r="J351" s="156"/>
      <c r="K351" s="64"/>
    </row>
    <row r="352" spans="1:11" x14ac:dyDescent="0.25">
      <c r="A352" s="65"/>
      <c r="B352" s="64"/>
      <c r="C352" s="64"/>
      <c r="D352" s="64"/>
      <c r="E352" s="64"/>
      <c r="F352" s="66"/>
      <c r="G352" s="64"/>
      <c r="H352" s="64"/>
      <c r="I352" s="157">
        <f>IF(A352="","",SUMIF($D$3:$D$352,"Inflow",$F$3:$F$352)-SUMIF($D$3:$D$352,"Outflow",$F$3:$F$352)+SUM(Bank_Accounts!$E$3:$E$22))</f>
      </c>
      <c r="J352" s="156"/>
      <c r="K352" s="64"/>
    </row>
    <row r="353" spans="1:11" x14ac:dyDescent="0.25">
      <c r="A353" s="65"/>
      <c r="B353" s="64"/>
      <c r="C353" s="64"/>
      <c r="D353" s="64"/>
      <c r="E353" s="64"/>
      <c r="F353" s="66"/>
      <c r="G353" s="64"/>
      <c r="H353" s="64"/>
      <c r="I353" s="157">
        <f>IF(A353="","",SUMIF($D$3:$D$353,"Inflow",$F$3:$F$353)-SUMIF($D$3:$D$353,"Outflow",$F$3:$F$353)+SUM(Bank_Accounts!$E$3:$E$22))</f>
      </c>
      <c r="J353" s="156"/>
      <c r="K353" s="64"/>
    </row>
    <row r="354" spans="1:11" x14ac:dyDescent="0.25">
      <c r="A354" s="65"/>
      <c r="B354" s="64"/>
      <c r="C354" s="64"/>
      <c r="D354" s="64"/>
      <c r="E354" s="64"/>
      <c r="F354" s="66"/>
      <c r="G354" s="64"/>
      <c r="H354" s="64"/>
      <c r="I354" s="157">
        <f>IF(A354="","",SUMIF($D$3:$D$354,"Inflow",$F$3:$F$354)-SUMIF($D$3:$D$354,"Outflow",$F$3:$F$354)+SUM(Bank_Accounts!$E$3:$E$22))</f>
      </c>
      <c r="J354" s="156"/>
      <c r="K354" s="64"/>
    </row>
    <row r="355" spans="1:11" x14ac:dyDescent="0.25">
      <c r="A355" s="65"/>
      <c r="B355" s="64"/>
      <c r="C355" s="64"/>
      <c r="D355" s="64"/>
      <c r="E355" s="64"/>
      <c r="F355" s="66"/>
      <c r="G355" s="64"/>
      <c r="H355" s="64"/>
      <c r="I355" s="157">
        <f>IF(A355="","",SUMIF($D$3:$D$355,"Inflow",$F$3:$F$355)-SUMIF($D$3:$D$355,"Outflow",$F$3:$F$355)+SUM(Bank_Accounts!$E$3:$E$22))</f>
      </c>
      <c r="J355" s="156"/>
      <c r="K355" s="64"/>
    </row>
    <row r="356" spans="1:11" x14ac:dyDescent="0.25">
      <c r="A356" s="65"/>
      <c r="B356" s="64"/>
      <c r="C356" s="64"/>
      <c r="D356" s="64"/>
      <c r="E356" s="64"/>
      <c r="F356" s="66"/>
      <c r="G356" s="64"/>
      <c r="H356" s="64"/>
      <c r="I356" s="157">
        <f>IF(A356="","",SUMIF($D$3:$D$356,"Inflow",$F$3:$F$356)-SUMIF($D$3:$D$356,"Outflow",$F$3:$F$356)+SUM(Bank_Accounts!$E$3:$E$22))</f>
      </c>
      <c r="J356" s="156"/>
      <c r="K356" s="64"/>
    </row>
    <row r="357" spans="1:11" x14ac:dyDescent="0.25">
      <c r="A357" s="65"/>
      <c r="B357" s="64"/>
      <c r="C357" s="64"/>
      <c r="D357" s="64"/>
      <c r="E357" s="64"/>
      <c r="F357" s="66"/>
      <c r="G357" s="64"/>
      <c r="H357" s="64"/>
      <c r="I357" s="157">
        <f>IF(A357="","",SUMIF($D$3:$D$357,"Inflow",$F$3:$F$357)-SUMIF($D$3:$D$357,"Outflow",$F$3:$F$357)+SUM(Bank_Accounts!$E$3:$E$22))</f>
      </c>
      <c r="J357" s="156"/>
      <c r="K357" s="64"/>
    </row>
    <row r="358" spans="1:11" x14ac:dyDescent="0.25">
      <c r="A358" s="65"/>
      <c r="B358" s="64"/>
      <c r="C358" s="64"/>
      <c r="D358" s="64"/>
      <c r="E358" s="64"/>
      <c r="F358" s="66"/>
      <c r="G358" s="64"/>
      <c r="H358" s="64"/>
      <c r="I358" s="157">
        <f>IF(A358="","",SUMIF($D$3:$D$358,"Inflow",$F$3:$F$358)-SUMIF($D$3:$D$358,"Outflow",$F$3:$F$358)+SUM(Bank_Accounts!$E$3:$E$22))</f>
      </c>
      <c r="J358" s="156"/>
      <c r="K358" s="64"/>
    </row>
    <row r="359" spans="1:11" x14ac:dyDescent="0.25">
      <c r="A359" s="65"/>
      <c r="B359" s="64"/>
      <c r="C359" s="64"/>
      <c r="D359" s="64"/>
      <c r="E359" s="64"/>
      <c r="F359" s="66"/>
      <c r="G359" s="64"/>
      <c r="H359" s="64"/>
      <c r="I359" s="157">
        <f>IF(A359="","",SUMIF($D$3:$D$359,"Inflow",$F$3:$F$359)-SUMIF($D$3:$D$359,"Outflow",$F$3:$F$359)+SUM(Bank_Accounts!$E$3:$E$22))</f>
      </c>
      <c r="J359" s="156"/>
      <c r="K359" s="64"/>
    </row>
    <row r="360" spans="1:11" x14ac:dyDescent="0.25">
      <c r="A360" s="65"/>
      <c r="B360" s="64"/>
      <c r="C360" s="64"/>
      <c r="D360" s="64"/>
      <c r="E360" s="64"/>
      <c r="F360" s="66"/>
      <c r="G360" s="64"/>
      <c r="H360" s="64"/>
      <c r="I360" s="157">
        <f>IF(A360="","",SUMIF($D$3:$D$360,"Inflow",$F$3:$F$360)-SUMIF($D$3:$D$360,"Outflow",$F$3:$F$360)+SUM(Bank_Accounts!$E$3:$E$22))</f>
      </c>
      <c r="J360" s="156"/>
      <c r="K360" s="64"/>
    </row>
    <row r="361" spans="1:11" x14ac:dyDescent="0.25">
      <c r="A361" s="65"/>
      <c r="B361" s="64"/>
      <c r="C361" s="64"/>
      <c r="D361" s="64"/>
      <c r="E361" s="64"/>
      <c r="F361" s="66"/>
      <c r="G361" s="64"/>
      <c r="H361" s="64"/>
      <c r="I361" s="157">
        <f>IF(A361="","",SUMIF($D$3:$D$361,"Inflow",$F$3:$F$361)-SUMIF($D$3:$D$361,"Outflow",$F$3:$F$361)+SUM(Bank_Accounts!$E$3:$E$22))</f>
      </c>
      <c r="J361" s="156"/>
      <c r="K361" s="64"/>
    </row>
    <row r="362" spans="1:11" x14ac:dyDescent="0.25">
      <c r="A362" s="65"/>
      <c r="B362" s="64"/>
      <c r="C362" s="64"/>
      <c r="D362" s="64"/>
      <c r="E362" s="64"/>
      <c r="F362" s="66"/>
      <c r="G362" s="64"/>
      <c r="H362" s="64"/>
      <c r="I362" s="157">
        <f>IF(A362="","",SUMIF($D$3:$D$362,"Inflow",$F$3:$F$362)-SUMIF($D$3:$D$362,"Outflow",$F$3:$F$362)+SUM(Bank_Accounts!$E$3:$E$22))</f>
      </c>
      <c r="J362" s="156"/>
      <c r="K362" s="64"/>
    </row>
    <row r="363" spans="1:11" x14ac:dyDescent="0.25">
      <c r="A363" s="65"/>
      <c r="B363" s="64"/>
      <c r="C363" s="64"/>
      <c r="D363" s="64"/>
      <c r="E363" s="64"/>
      <c r="F363" s="66"/>
      <c r="G363" s="64"/>
      <c r="H363" s="64"/>
      <c r="I363" s="157">
        <f>IF(A363="","",SUMIF($D$3:$D$363,"Inflow",$F$3:$F$363)-SUMIF($D$3:$D$363,"Outflow",$F$3:$F$363)+SUM(Bank_Accounts!$E$3:$E$22))</f>
      </c>
      <c r="J363" s="156"/>
      <c r="K363" s="64"/>
    </row>
    <row r="364" spans="1:11" x14ac:dyDescent="0.25">
      <c r="A364" s="65"/>
      <c r="B364" s="64"/>
      <c r="C364" s="64"/>
      <c r="D364" s="64"/>
      <c r="E364" s="64"/>
      <c r="F364" s="66"/>
      <c r="G364" s="64"/>
      <c r="H364" s="64"/>
      <c r="I364" s="157">
        <f>IF(A364="","",SUMIF($D$3:$D$364,"Inflow",$F$3:$F$364)-SUMIF($D$3:$D$364,"Outflow",$F$3:$F$364)+SUM(Bank_Accounts!$E$3:$E$22))</f>
      </c>
      <c r="J364" s="156"/>
      <c r="K364" s="64"/>
    </row>
    <row r="365" spans="1:11" x14ac:dyDescent="0.25">
      <c r="A365" s="65"/>
      <c r="B365" s="64"/>
      <c r="C365" s="64"/>
      <c r="D365" s="64"/>
      <c r="E365" s="64"/>
      <c r="F365" s="66"/>
      <c r="G365" s="64"/>
      <c r="H365" s="64"/>
      <c r="I365" s="157">
        <f>IF(A365="","",SUMIF($D$3:$D$365,"Inflow",$F$3:$F$365)-SUMIF($D$3:$D$365,"Outflow",$F$3:$F$365)+SUM(Bank_Accounts!$E$3:$E$22))</f>
      </c>
      <c r="J365" s="156"/>
      <c r="K365" s="64"/>
    </row>
    <row r="366" spans="1:11" x14ac:dyDescent="0.25">
      <c r="A366" s="65"/>
      <c r="B366" s="64"/>
      <c r="C366" s="64"/>
      <c r="D366" s="64"/>
      <c r="E366" s="64"/>
      <c r="F366" s="66"/>
      <c r="G366" s="64"/>
      <c r="H366" s="64"/>
      <c r="I366" s="157">
        <f>IF(A366="","",SUMIF($D$3:$D$366,"Inflow",$F$3:$F$366)-SUMIF($D$3:$D$366,"Outflow",$F$3:$F$366)+SUM(Bank_Accounts!$E$3:$E$22))</f>
      </c>
      <c r="J366" s="156"/>
      <c r="K366" s="64"/>
    </row>
    <row r="367" spans="1:11" x14ac:dyDescent="0.25">
      <c r="A367" s="65"/>
      <c r="B367" s="64"/>
      <c r="C367" s="64"/>
      <c r="D367" s="64"/>
      <c r="E367" s="64"/>
      <c r="F367" s="66"/>
      <c r="G367" s="64"/>
      <c r="H367" s="64"/>
      <c r="I367" s="157">
        <f>IF(A367="","",SUMIF($D$3:$D$367,"Inflow",$F$3:$F$367)-SUMIF($D$3:$D$367,"Outflow",$F$3:$F$367)+SUM(Bank_Accounts!$E$3:$E$22))</f>
      </c>
      <c r="J367" s="156"/>
      <c r="K367" s="64"/>
    </row>
    <row r="368" spans="1:11" x14ac:dyDescent="0.25">
      <c r="A368" s="65"/>
      <c r="B368" s="64"/>
      <c r="C368" s="64"/>
      <c r="D368" s="64"/>
      <c r="E368" s="64"/>
      <c r="F368" s="66"/>
      <c r="G368" s="64"/>
      <c r="H368" s="64"/>
      <c r="I368" s="157">
        <f>IF(A368="","",SUMIF($D$3:$D$368,"Inflow",$F$3:$F$368)-SUMIF($D$3:$D$368,"Outflow",$F$3:$F$368)+SUM(Bank_Accounts!$E$3:$E$22))</f>
      </c>
      <c r="J368" s="156"/>
      <c r="K368" s="64"/>
    </row>
    <row r="369" spans="1:11" x14ac:dyDescent="0.25">
      <c r="A369" s="65"/>
      <c r="B369" s="64"/>
      <c r="C369" s="64"/>
      <c r="D369" s="64"/>
      <c r="E369" s="64"/>
      <c r="F369" s="66"/>
      <c r="G369" s="64"/>
      <c r="H369" s="64"/>
      <c r="I369" s="157">
        <f>IF(A369="","",SUMIF($D$3:$D$369,"Inflow",$F$3:$F$369)-SUMIF($D$3:$D$369,"Outflow",$F$3:$F$369)+SUM(Bank_Accounts!$E$3:$E$22))</f>
      </c>
      <c r="J369" s="156"/>
      <c r="K369" s="64"/>
    </row>
    <row r="370" spans="1:11" x14ac:dyDescent="0.25">
      <c r="A370" s="65"/>
      <c r="B370" s="64"/>
      <c r="C370" s="64"/>
      <c r="D370" s="64"/>
      <c r="E370" s="64"/>
      <c r="F370" s="66"/>
      <c r="G370" s="64"/>
      <c r="H370" s="64"/>
      <c r="I370" s="157">
        <f>IF(A370="","",SUMIF($D$3:$D$370,"Inflow",$F$3:$F$370)-SUMIF($D$3:$D$370,"Outflow",$F$3:$F$370)+SUM(Bank_Accounts!$E$3:$E$22))</f>
      </c>
      <c r="J370" s="156"/>
      <c r="K370" s="64"/>
    </row>
    <row r="371" spans="1:11" x14ac:dyDescent="0.25">
      <c r="A371" s="65"/>
      <c r="B371" s="64"/>
      <c r="C371" s="64"/>
      <c r="D371" s="64"/>
      <c r="E371" s="64"/>
      <c r="F371" s="66"/>
      <c r="G371" s="64"/>
      <c r="H371" s="64"/>
      <c r="I371" s="157">
        <f>IF(A371="","",SUMIF($D$3:$D$371,"Inflow",$F$3:$F$371)-SUMIF($D$3:$D$371,"Outflow",$F$3:$F$371)+SUM(Bank_Accounts!$E$3:$E$22))</f>
      </c>
      <c r="J371" s="156"/>
      <c r="K371" s="64"/>
    </row>
    <row r="372" spans="1:11" x14ac:dyDescent="0.25">
      <c r="A372" s="65"/>
      <c r="B372" s="64"/>
      <c r="C372" s="64"/>
      <c r="D372" s="64"/>
      <c r="E372" s="64"/>
      <c r="F372" s="66"/>
      <c r="G372" s="64"/>
      <c r="H372" s="64"/>
      <c r="I372" s="157">
        <f>IF(A372="","",SUMIF($D$3:$D$372,"Inflow",$F$3:$F$372)-SUMIF($D$3:$D$372,"Outflow",$F$3:$F$372)+SUM(Bank_Accounts!$E$3:$E$22))</f>
      </c>
      <c r="J372" s="156"/>
      <c r="K372" s="64"/>
    </row>
    <row r="373" spans="1:11" x14ac:dyDescent="0.25">
      <c r="A373" s="65"/>
      <c r="B373" s="64"/>
      <c r="C373" s="64"/>
      <c r="D373" s="64"/>
      <c r="E373" s="64"/>
      <c r="F373" s="66"/>
      <c r="G373" s="64"/>
      <c r="H373" s="64"/>
      <c r="I373" s="157">
        <f>IF(A373="","",SUMIF($D$3:$D$373,"Inflow",$F$3:$F$373)-SUMIF($D$3:$D$373,"Outflow",$F$3:$F$373)+SUM(Bank_Accounts!$E$3:$E$22))</f>
      </c>
      <c r="J373" s="156"/>
      <c r="K373" s="64"/>
    </row>
    <row r="374" spans="1:11" x14ac:dyDescent="0.25">
      <c r="A374" s="65"/>
      <c r="B374" s="64"/>
      <c r="C374" s="64"/>
      <c r="D374" s="64"/>
      <c r="E374" s="64"/>
      <c r="F374" s="66"/>
      <c r="G374" s="64"/>
      <c r="H374" s="64"/>
      <c r="I374" s="157">
        <f>IF(A374="","",SUMIF($D$3:$D$374,"Inflow",$F$3:$F$374)-SUMIF($D$3:$D$374,"Outflow",$F$3:$F$374)+SUM(Bank_Accounts!$E$3:$E$22))</f>
      </c>
      <c r="J374" s="156"/>
      <c r="K374" s="64"/>
    </row>
    <row r="375" spans="1:11" x14ac:dyDescent="0.25">
      <c r="A375" s="65"/>
      <c r="B375" s="64"/>
      <c r="C375" s="64"/>
      <c r="D375" s="64"/>
      <c r="E375" s="64"/>
      <c r="F375" s="66"/>
      <c r="G375" s="64"/>
      <c r="H375" s="64"/>
      <c r="I375" s="157">
        <f>IF(A375="","",SUMIF($D$3:$D$375,"Inflow",$F$3:$F$375)-SUMIF($D$3:$D$375,"Outflow",$F$3:$F$375)+SUM(Bank_Accounts!$E$3:$E$22))</f>
      </c>
      <c r="J375" s="156"/>
      <c r="K375" s="64"/>
    </row>
    <row r="376" spans="1:11" x14ac:dyDescent="0.25">
      <c r="A376" s="65"/>
      <c r="B376" s="64"/>
      <c r="C376" s="64"/>
      <c r="D376" s="64"/>
      <c r="E376" s="64"/>
      <c r="F376" s="66"/>
      <c r="G376" s="64"/>
      <c r="H376" s="64"/>
      <c r="I376" s="157">
        <f>IF(A376="","",SUMIF($D$3:$D$376,"Inflow",$F$3:$F$376)-SUMIF($D$3:$D$376,"Outflow",$F$3:$F$376)+SUM(Bank_Accounts!$E$3:$E$22))</f>
      </c>
      <c r="J376" s="156"/>
      <c r="K376" s="64"/>
    </row>
    <row r="377" spans="1:11" x14ac:dyDescent="0.25">
      <c r="A377" s="65"/>
      <c r="B377" s="64"/>
      <c r="C377" s="64"/>
      <c r="D377" s="64"/>
      <c r="E377" s="64"/>
      <c r="F377" s="66"/>
      <c r="G377" s="64"/>
      <c r="H377" s="64"/>
      <c r="I377" s="157">
        <f>IF(A377="","",SUMIF($D$3:$D$377,"Inflow",$F$3:$F$377)-SUMIF($D$3:$D$377,"Outflow",$F$3:$F$377)+SUM(Bank_Accounts!$E$3:$E$22))</f>
      </c>
      <c r="J377" s="156"/>
      <c r="K377" s="64"/>
    </row>
    <row r="378" spans="1:11" x14ac:dyDescent="0.25">
      <c r="A378" s="65"/>
      <c r="B378" s="64"/>
      <c r="C378" s="64"/>
      <c r="D378" s="64"/>
      <c r="E378" s="64"/>
      <c r="F378" s="66"/>
      <c r="G378" s="64"/>
      <c r="H378" s="64"/>
      <c r="I378" s="157">
        <f>IF(A378="","",SUMIF($D$3:$D$378,"Inflow",$F$3:$F$378)-SUMIF($D$3:$D$378,"Outflow",$F$3:$F$378)+SUM(Bank_Accounts!$E$3:$E$22))</f>
      </c>
      <c r="J378" s="156"/>
      <c r="K378" s="64"/>
    </row>
    <row r="379" spans="1:11" x14ac:dyDescent="0.25">
      <c r="A379" s="65"/>
      <c r="B379" s="64"/>
      <c r="C379" s="64"/>
      <c r="D379" s="64"/>
      <c r="E379" s="64"/>
      <c r="F379" s="66"/>
      <c r="G379" s="64"/>
      <c r="H379" s="64"/>
      <c r="I379" s="157">
        <f>IF(A379="","",SUMIF($D$3:$D$379,"Inflow",$F$3:$F$379)-SUMIF($D$3:$D$379,"Outflow",$F$3:$F$379)+SUM(Bank_Accounts!$E$3:$E$22))</f>
      </c>
      <c r="J379" s="156"/>
      <c r="K379" s="64"/>
    </row>
    <row r="380" spans="1:11" x14ac:dyDescent="0.25">
      <c r="A380" s="65"/>
      <c r="B380" s="64"/>
      <c r="C380" s="64"/>
      <c r="D380" s="64"/>
      <c r="E380" s="64"/>
      <c r="F380" s="66"/>
      <c r="G380" s="64"/>
      <c r="H380" s="64"/>
      <c r="I380" s="157">
        <f>IF(A380="","",SUMIF($D$3:$D$380,"Inflow",$F$3:$F$380)-SUMIF($D$3:$D$380,"Outflow",$F$3:$F$380)+SUM(Bank_Accounts!$E$3:$E$22))</f>
      </c>
      <c r="J380" s="156"/>
      <c r="K380" s="64"/>
    </row>
    <row r="381" spans="1:11" x14ac:dyDescent="0.25">
      <c r="A381" s="65"/>
      <c r="B381" s="64"/>
      <c r="C381" s="64"/>
      <c r="D381" s="64"/>
      <c r="E381" s="64"/>
      <c r="F381" s="66"/>
      <c r="G381" s="64"/>
      <c r="H381" s="64"/>
      <c r="I381" s="157">
        <f>IF(A381="","",SUMIF($D$3:$D$381,"Inflow",$F$3:$F$381)-SUMIF($D$3:$D$381,"Outflow",$F$3:$F$381)+SUM(Bank_Accounts!$E$3:$E$22))</f>
      </c>
      <c r="J381" s="156"/>
      <c r="K381" s="64"/>
    </row>
    <row r="382" spans="1:11" x14ac:dyDescent="0.25">
      <c r="A382" s="65"/>
      <c r="B382" s="64"/>
      <c r="C382" s="64"/>
      <c r="D382" s="64"/>
      <c r="E382" s="64"/>
      <c r="F382" s="66"/>
      <c r="G382" s="64"/>
      <c r="H382" s="64"/>
      <c r="I382" s="157">
        <f>IF(A382="","",SUMIF($D$3:$D$382,"Inflow",$F$3:$F$382)-SUMIF($D$3:$D$382,"Outflow",$F$3:$F$382)+SUM(Bank_Accounts!$E$3:$E$22))</f>
      </c>
      <c r="J382" s="156"/>
      <c r="K382" s="64"/>
    </row>
    <row r="383" spans="1:11" x14ac:dyDescent="0.25">
      <c r="A383" s="65"/>
      <c r="B383" s="64"/>
      <c r="C383" s="64"/>
      <c r="D383" s="64"/>
      <c r="E383" s="64"/>
      <c r="F383" s="66"/>
      <c r="G383" s="64"/>
      <c r="H383" s="64"/>
      <c r="I383" s="157">
        <f>IF(A383="","",SUMIF($D$3:$D$383,"Inflow",$F$3:$F$383)-SUMIF($D$3:$D$383,"Outflow",$F$3:$F$383)+SUM(Bank_Accounts!$E$3:$E$22))</f>
      </c>
      <c r="J383" s="156"/>
      <c r="K383" s="64"/>
    </row>
    <row r="384" spans="1:11" x14ac:dyDescent="0.25">
      <c r="A384" s="65"/>
      <c r="B384" s="64"/>
      <c r="C384" s="64"/>
      <c r="D384" s="64"/>
      <c r="E384" s="64"/>
      <c r="F384" s="66"/>
      <c r="G384" s="64"/>
      <c r="H384" s="64"/>
      <c r="I384" s="157">
        <f>IF(A384="","",SUMIF($D$3:$D$384,"Inflow",$F$3:$F$384)-SUMIF($D$3:$D$384,"Outflow",$F$3:$F$384)+SUM(Bank_Accounts!$E$3:$E$22))</f>
      </c>
      <c r="J384" s="156"/>
      <c r="K384" s="64"/>
    </row>
    <row r="385" spans="1:11" x14ac:dyDescent="0.25">
      <c r="A385" s="65"/>
      <c r="B385" s="64"/>
      <c r="C385" s="64"/>
      <c r="D385" s="64"/>
      <c r="E385" s="64"/>
      <c r="F385" s="66"/>
      <c r="G385" s="64"/>
      <c r="H385" s="64"/>
      <c r="I385" s="157">
        <f>IF(A385="","",SUMIF($D$3:$D$385,"Inflow",$F$3:$F$385)-SUMIF($D$3:$D$385,"Outflow",$F$3:$F$385)+SUM(Bank_Accounts!$E$3:$E$22))</f>
      </c>
      <c r="J385" s="156"/>
      <c r="K385" s="64"/>
    </row>
    <row r="386" spans="1:11" x14ac:dyDescent="0.25">
      <c r="A386" s="65"/>
      <c r="B386" s="64"/>
      <c r="C386" s="64"/>
      <c r="D386" s="64"/>
      <c r="E386" s="64"/>
      <c r="F386" s="66"/>
      <c r="G386" s="64"/>
      <c r="H386" s="64"/>
      <c r="I386" s="157">
        <f>IF(A386="","",SUMIF($D$3:$D$386,"Inflow",$F$3:$F$386)-SUMIF($D$3:$D$386,"Outflow",$F$3:$F$386)+SUM(Bank_Accounts!$E$3:$E$22))</f>
      </c>
      <c r="J386" s="156"/>
      <c r="K386" s="64"/>
    </row>
    <row r="387" spans="1:11" x14ac:dyDescent="0.25">
      <c r="A387" s="65"/>
      <c r="B387" s="64"/>
      <c r="C387" s="64"/>
      <c r="D387" s="64"/>
      <c r="E387" s="64"/>
      <c r="F387" s="66"/>
      <c r="G387" s="64"/>
      <c r="H387" s="64"/>
      <c r="I387" s="157">
        <f>IF(A387="","",SUMIF($D$3:$D$387,"Inflow",$F$3:$F$387)-SUMIF($D$3:$D$387,"Outflow",$F$3:$F$387)+SUM(Bank_Accounts!$E$3:$E$22))</f>
      </c>
      <c r="J387" s="156"/>
      <c r="K387" s="64"/>
    </row>
    <row r="388" spans="1:11" x14ac:dyDescent="0.25">
      <c r="A388" s="65"/>
      <c r="B388" s="64"/>
      <c r="C388" s="64"/>
      <c r="D388" s="64"/>
      <c r="E388" s="64"/>
      <c r="F388" s="66"/>
      <c r="G388" s="64"/>
      <c r="H388" s="64"/>
      <c r="I388" s="157">
        <f>IF(A388="","",SUMIF($D$3:$D$388,"Inflow",$F$3:$F$388)-SUMIF($D$3:$D$388,"Outflow",$F$3:$F$388)+SUM(Bank_Accounts!$E$3:$E$22))</f>
      </c>
      <c r="J388" s="156"/>
      <c r="K388" s="64"/>
    </row>
    <row r="389" spans="1:11" x14ac:dyDescent="0.25">
      <c r="A389" s="65"/>
      <c r="B389" s="64"/>
      <c r="C389" s="64"/>
      <c r="D389" s="64"/>
      <c r="E389" s="64"/>
      <c r="F389" s="66"/>
      <c r="G389" s="64"/>
      <c r="H389" s="64"/>
      <c r="I389" s="157">
        <f>IF(A389="","",SUMIF($D$3:$D$389,"Inflow",$F$3:$F$389)-SUMIF($D$3:$D$389,"Outflow",$F$3:$F$389)+SUM(Bank_Accounts!$E$3:$E$22))</f>
      </c>
      <c r="J389" s="156"/>
      <c r="K389" s="64"/>
    </row>
    <row r="390" spans="1:11" x14ac:dyDescent="0.25">
      <c r="A390" s="65"/>
      <c r="B390" s="64"/>
      <c r="C390" s="64"/>
      <c r="D390" s="64"/>
      <c r="E390" s="64"/>
      <c r="F390" s="66"/>
      <c r="G390" s="64"/>
      <c r="H390" s="64"/>
      <c r="I390" s="157">
        <f>IF(A390="","",SUMIF($D$3:$D$390,"Inflow",$F$3:$F$390)-SUMIF($D$3:$D$390,"Outflow",$F$3:$F$390)+SUM(Bank_Accounts!$E$3:$E$22))</f>
      </c>
      <c r="J390" s="156"/>
      <c r="K390" s="64"/>
    </row>
    <row r="391" spans="1:11" x14ac:dyDescent="0.25">
      <c r="A391" s="65"/>
      <c r="B391" s="64"/>
      <c r="C391" s="64"/>
      <c r="D391" s="64"/>
      <c r="E391" s="64"/>
      <c r="F391" s="66"/>
      <c r="G391" s="64"/>
      <c r="H391" s="64"/>
      <c r="I391" s="157">
        <f>IF(A391="","",SUMIF($D$3:$D$391,"Inflow",$F$3:$F$391)-SUMIF($D$3:$D$391,"Outflow",$F$3:$F$391)+SUM(Bank_Accounts!$E$3:$E$22))</f>
      </c>
      <c r="J391" s="156"/>
      <c r="K391" s="64"/>
    </row>
    <row r="392" spans="1:11" x14ac:dyDescent="0.25">
      <c r="A392" s="65"/>
      <c r="B392" s="64"/>
      <c r="C392" s="64"/>
      <c r="D392" s="64"/>
      <c r="E392" s="64"/>
      <c r="F392" s="66"/>
      <c r="G392" s="64"/>
      <c r="H392" s="64"/>
      <c r="I392" s="157">
        <f>IF(A392="","",SUMIF($D$3:$D$392,"Inflow",$F$3:$F$392)-SUMIF($D$3:$D$392,"Outflow",$F$3:$F$392)+SUM(Bank_Accounts!$E$3:$E$22))</f>
      </c>
      <c r="J392" s="156"/>
      <c r="K392" s="64"/>
    </row>
    <row r="393" spans="1:11" x14ac:dyDescent="0.25">
      <c r="A393" s="65"/>
      <c r="B393" s="64"/>
      <c r="C393" s="64"/>
      <c r="D393" s="64"/>
      <c r="E393" s="64"/>
      <c r="F393" s="66"/>
      <c r="G393" s="64"/>
      <c r="H393" s="64"/>
      <c r="I393" s="157">
        <f>IF(A393="","",SUMIF($D$3:$D$393,"Inflow",$F$3:$F$393)-SUMIF($D$3:$D$393,"Outflow",$F$3:$F$393)+SUM(Bank_Accounts!$E$3:$E$22))</f>
      </c>
      <c r="J393" s="156"/>
      <c r="K393" s="64"/>
    </row>
    <row r="394" spans="1:11" x14ac:dyDescent="0.25">
      <c r="A394" s="65"/>
      <c r="B394" s="64"/>
      <c r="C394" s="64"/>
      <c r="D394" s="64"/>
      <c r="E394" s="64"/>
      <c r="F394" s="66"/>
      <c r="G394" s="64"/>
      <c r="H394" s="64"/>
      <c r="I394" s="157">
        <f>IF(A394="","",SUMIF($D$3:$D$394,"Inflow",$F$3:$F$394)-SUMIF($D$3:$D$394,"Outflow",$F$3:$F$394)+SUM(Bank_Accounts!$E$3:$E$22))</f>
      </c>
      <c r="J394" s="156"/>
      <c r="K394" s="64"/>
    </row>
    <row r="395" spans="1:11" x14ac:dyDescent="0.25">
      <c r="A395" s="65"/>
      <c r="B395" s="64"/>
      <c r="C395" s="64"/>
      <c r="D395" s="64"/>
      <c r="E395" s="64"/>
      <c r="F395" s="66"/>
      <c r="G395" s="64"/>
      <c r="H395" s="64"/>
      <c r="I395" s="157">
        <f>IF(A395="","",SUMIF($D$3:$D$395,"Inflow",$F$3:$F$395)-SUMIF($D$3:$D$395,"Outflow",$F$3:$F$395)+SUM(Bank_Accounts!$E$3:$E$22))</f>
      </c>
      <c r="J395" s="156"/>
      <c r="K395" s="64"/>
    </row>
    <row r="396" spans="1:11" x14ac:dyDescent="0.25">
      <c r="A396" s="65"/>
      <c r="B396" s="64"/>
      <c r="C396" s="64"/>
      <c r="D396" s="64"/>
      <c r="E396" s="64"/>
      <c r="F396" s="66"/>
      <c r="G396" s="64"/>
      <c r="H396" s="64"/>
      <c r="I396" s="157">
        <f>IF(A396="","",SUMIF($D$3:$D$396,"Inflow",$F$3:$F$396)-SUMIF($D$3:$D$396,"Outflow",$F$3:$F$396)+SUM(Bank_Accounts!$E$3:$E$22))</f>
      </c>
      <c r="J396" s="156"/>
      <c r="K396" s="64"/>
    </row>
    <row r="397" spans="1:11" x14ac:dyDescent="0.25">
      <c r="A397" s="65"/>
      <c r="B397" s="64"/>
      <c r="C397" s="64"/>
      <c r="D397" s="64"/>
      <c r="E397" s="64"/>
      <c r="F397" s="66"/>
      <c r="G397" s="64"/>
      <c r="H397" s="64"/>
      <c r="I397" s="157">
        <f>IF(A397="","",SUMIF($D$3:$D$397,"Inflow",$F$3:$F$397)-SUMIF($D$3:$D$397,"Outflow",$F$3:$F$397)+SUM(Bank_Accounts!$E$3:$E$22))</f>
      </c>
      <c r="J397" s="156"/>
      <c r="K397" s="64"/>
    </row>
    <row r="398" spans="1:11" x14ac:dyDescent="0.25">
      <c r="A398" s="65"/>
      <c r="B398" s="64"/>
      <c r="C398" s="64"/>
      <c r="D398" s="64"/>
      <c r="E398" s="64"/>
      <c r="F398" s="66"/>
      <c r="G398" s="64"/>
      <c r="H398" s="64"/>
      <c r="I398" s="157">
        <f>IF(A398="","",SUMIF($D$3:$D$398,"Inflow",$F$3:$F$398)-SUMIF($D$3:$D$398,"Outflow",$F$3:$F$398)+SUM(Bank_Accounts!$E$3:$E$22))</f>
      </c>
      <c r="J398" s="156"/>
      <c r="K398" s="64"/>
    </row>
    <row r="399" spans="1:11" x14ac:dyDescent="0.25">
      <c r="A399" s="65"/>
      <c r="B399" s="64"/>
      <c r="C399" s="64"/>
      <c r="D399" s="64"/>
      <c r="E399" s="64"/>
      <c r="F399" s="66"/>
      <c r="G399" s="64"/>
      <c r="H399" s="64"/>
      <c r="I399" s="157">
        <f>IF(A399="","",SUMIF($D$3:$D$399,"Inflow",$F$3:$F$399)-SUMIF($D$3:$D$399,"Outflow",$F$3:$F$399)+SUM(Bank_Accounts!$E$3:$E$22))</f>
      </c>
      <c r="J399" s="156"/>
      <c r="K399" s="64"/>
    </row>
    <row r="400" spans="1:11" x14ac:dyDescent="0.25">
      <c r="A400" s="65"/>
      <c r="B400" s="64"/>
      <c r="C400" s="64"/>
      <c r="D400" s="64"/>
      <c r="E400" s="64"/>
      <c r="F400" s="66"/>
      <c r="G400" s="64"/>
      <c r="H400" s="64"/>
      <c r="I400" s="157">
        <f>IF(A400="","",SUMIF($D$3:$D$400,"Inflow",$F$3:$F$400)-SUMIF($D$3:$D$400,"Outflow",$F$3:$F$400)+SUM(Bank_Accounts!$E$3:$E$22))</f>
      </c>
      <c r="J400" s="156"/>
      <c r="K400" s="64"/>
    </row>
    <row r="401" spans="1:11" x14ac:dyDescent="0.25">
      <c r="A401" s="65"/>
      <c r="B401" s="64"/>
      <c r="C401" s="64"/>
      <c r="D401" s="64"/>
      <c r="E401" s="64"/>
      <c r="F401" s="66"/>
      <c r="G401" s="64"/>
      <c r="H401" s="64"/>
      <c r="I401" s="157">
        <f>IF(A401="","",SUMIF($D$3:$D$401,"Inflow",$F$3:$F$401)-SUMIF($D$3:$D$401,"Outflow",$F$3:$F$401)+SUM(Bank_Accounts!$E$3:$E$22))</f>
      </c>
      <c r="J401" s="156"/>
      <c r="K401" s="64"/>
    </row>
    <row r="402" spans="1:11" x14ac:dyDescent="0.25">
      <c r="A402" s="65"/>
      <c r="B402" s="64"/>
      <c r="C402" s="64"/>
      <c r="D402" s="64"/>
      <c r="E402" s="64"/>
      <c r="F402" s="66"/>
      <c r="G402" s="64"/>
      <c r="H402" s="64"/>
      <c r="I402" s="157">
        <f>IF(A402="","",SUMIF($D$3:$D$402,"Inflow",$F$3:$F$402)-SUMIF($D$3:$D$402,"Outflow",$F$3:$F$402)+SUM(Bank_Accounts!$E$3:$E$22))</f>
      </c>
      <c r="J402" s="156"/>
      <c r="K402" s="64"/>
    </row>
    <row r="403" spans="1:11" x14ac:dyDescent="0.25">
      <c r="A403" s="65"/>
      <c r="B403" s="64"/>
      <c r="C403" s="64"/>
      <c r="D403" s="64"/>
      <c r="E403" s="64"/>
      <c r="F403" s="66"/>
      <c r="G403" s="64"/>
      <c r="H403" s="64"/>
      <c r="I403" s="157">
        <f>IF(A403="","",SUMIF($D$3:$D$403,"Inflow",$F$3:$F$403)-SUMIF($D$3:$D$403,"Outflow",$F$3:$F$403)+SUM(Bank_Accounts!$E$3:$E$22))</f>
      </c>
      <c r="J403" s="156"/>
      <c r="K403" s="64"/>
    </row>
    <row r="404" spans="1:11" x14ac:dyDescent="0.25">
      <c r="A404" s="65"/>
      <c r="B404" s="64"/>
      <c r="C404" s="64"/>
      <c r="D404" s="64"/>
      <c r="E404" s="64"/>
      <c r="F404" s="66"/>
      <c r="G404" s="64"/>
      <c r="H404" s="64"/>
      <c r="I404" s="157">
        <f>IF(A404="","",SUMIF($D$3:$D$404,"Inflow",$F$3:$F$404)-SUMIF($D$3:$D$404,"Outflow",$F$3:$F$404)+SUM(Bank_Accounts!$E$3:$E$22))</f>
      </c>
      <c r="J404" s="156"/>
      <c r="K404" s="64"/>
    </row>
    <row r="405" spans="1:11" x14ac:dyDescent="0.25">
      <c r="A405" s="65"/>
      <c r="B405" s="64"/>
      <c r="C405" s="64"/>
      <c r="D405" s="64"/>
      <c r="E405" s="64"/>
      <c r="F405" s="66"/>
      <c r="G405" s="64"/>
      <c r="H405" s="64"/>
      <c r="I405" s="157">
        <f>IF(A405="","",SUMIF($D$3:$D$405,"Inflow",$F$3:$F$405)-SUMIF($D$3:$D$405,"Outflow",$F$3:$F$405)+SUM(Bank_Accounts!$E$3:$E$22))</f>
      </c>
      <c r="J405" s="156"/>
      <c r="K405" s="64"/>
    </row>
    <row r="406" spans="1:11" x14ac:dyDescent="0.25">
      <c r="A406" s="65"/>
      <c r="B406" s="64"/>
      <c r="C406" s="64"/>
      <c r="D406" s="64"/>
      <c r="E406" s="64"/>
      <c r="F406" s="66"/>
      <c r="G406" s="64"/>
      <c r="H406" s="64"/>
      <c r="I406" s="157">
        <f>IF(A406="","",SUMIF($D$3:$D$406,"Inflow",$F$3:$F$406)-SUMIF($D$3:$D$406,"Outflow",$F$3:$F$406)+SUM(Bank_Accounts!$E$3:$E$22))</f>
      </c>
      <c r="J406" s="156"/>
      <c r="K406" s="64"/>
    </row>
    <row r="407" spans="1:11" x14ac:dyDescent="0.25">
      <c r="A407" s="65"/>
      <c r="B407" s="64"/>
      <c r="C407" s="64"/>
      <c r="D407" s="64"/>
      <c r="E407" s="64"/>
      <c r="F407" s="66"/>
      <c r="G407" s="64"/>
      <c r="H407" s="64"/>
      <c r="I407" s="157">
        <f>IF(A407="","",SUMIF($D$3:$D$407,"Inflow",$F$3:$F$407)-SUMIF($D$3:$D$407,"Outflow",$F$3:$F$407)+SUM(Bank_Accounts!$E$3:$E$22))</f>
      </c>
      <c r="J407" s="156"/>
      <c r="K407" s="64"/>
    </row>
    <row r="408" spans="1:11" x14ac:dyDescent="0.25">
      <c r="A408" s="65"/>
      <c r="B408" s="64"/>
      <c r="C408" s="64"/>
      <c r="D408" s="64"/>
      <c r="E408" s="64"/>
      <c r="F408" s="66"/>
      <c r="G408" s="64"/>
      <c r="H408" s="64"/>
      <c r="I408" s="157">
        <f>IF(A408="","",SUMIF($D$3:$D$408,"Inflow",$F$3:$F$408)-SUMIF($D$3:$D$408,"Outflow",$F$3:$F$408)+SUM(Bank_Accounts!$E$3:$E$22))</f>
      </c>
      <c r="J408" s="156"/>
      <c r="K408" s="64"/>
    </row>
    <row r="409" spans="1:11" x14ac:dyDescent="0.25">
      <c r="A409" s="65"/>
      <c r="B409" s="64"/>
      <c r="C409" s="64"/>
      <c r="D409" s="64"/>
      <c r="E409" s="64"/>
      <c r="F409" s="66"/>
      <c r="G409" s="64"/>
      <c r="H409" s="64"/>
      <c r="I409" s="157">
        <f>IF(A409="","",SUMIF($D$3:$D$409,"Inflow",$F$3:$F$409)-SUMIF($D$3:$D$409,"Outflow",$F$3:$F$409)+SUM(Bank_Accounts!$E$3:$E$22))</f>
      </c>
      <c r="J409" s="156"/>
      <c r="K409" s="64"/>
    </row>
    <row r="410" spans="1:11" x14ac:dyDescent="0.25">
      <c r="A410" s="65"/>
      <c r="B410" s="64"/>
      <c r="C410" s="64"/>
      <c r="D410" s="64"/>
      <c r="E410" s="64"/>
      <c r="F410" s="66"/>
      <c r="G410" s="64"/>
      <c r="H410" s="64"/>
      <c r="I410" s="157">
        <f>IF(A410="","",SUMIF($D$3:$D$410,"Inflow",$F$3:$F$410)-SUMIF($D$3:$D$410,"Outflow",$F$3:$F$410)+SUM(Bank_Accounts!$E$3:$E$22))</f>
      </c>
      <c r="J410" s="156"/>
      <c r="K410" s="64"/>
    </row>
    <row r="411" spans="1:11" x14ac:dyDescent="0.25">
      <c r="A411" s="65"/>
      <c r="B411" s="64"/>
      <c r="C411" s="64"/>
      <c r="D411" s="64"/>
      <c r="E411" s="64"/>
      <c r="F411" s="66"/>
      <c r="G411" s="64"/>
      <c r="H411" s="64"/>
      <c r="I411" s="157">
        <f>IF(A411="","",SUMIF($D$3:$D$411,"Inflow",$F$3:$F$411)-SUMIF($D$3:$D$411,"Outflow",$F$3:$F$411)+SUM(Bank_Accounts!$E$3:$E$22))</f>
      </c>
      <c r="J411" s="156"/>
      <c r="K411" s="64"/>
    </row>
    <row r="412" spans="1:11" x14ac:dyDescent="0.25">
      <c r="A412" s="65"/>
      <c r="B412" s="64"/>
      <c r="C412" s="64"/>
      <c r="D412" s="64"/>
      <c r="E412" s="64"/>
      <c r="F412" s="66"/>
      <c r="G412" s="64"/>
      <c r="H412" s="64"/>
      <c r="I412" s="157">
        <f>IF(A412="","",SUMIF($D$3:$D$412,"Inflow",$F$3:$F$412)-SUMIF($D$3:$D$412,"Outflow",$F$3:$F$412)+SUM(Bank_Accounts!$E$3:$E$22))</f>
      </c>
      <c r="J412" s="156"/>
      <c r="K412" s="64"/>
    </row>
    <row r="413" spans="1:11" x14ac:dyDescent="0.25">
      <c r="A413" s="65"/>
      <c r="B413" s="64"/>
      <c r="C413" s="64"/>
      <c r="D413" s="64"/>
      <c r="E413" s="64"/>
      <c r="F413" s="66"/>
      <c r="G413" s="64"/>
      <c r="H413" s="64"/>
      <c r="I413" s="157">
        <f>IF(A413="","",SUMIF($D$3:$D$413,"Inflow",$F$3:$F$413)-SUMIF($D$3:$D$413,"Outflow",$F$3:$F$413)+SUM(Bank_Accounts!$E$3:$E$22))</f>
      </c>
      <c r="J413" s="156"/>
      <c r="K413" s="64"/>
    </row>
    <row r="414" spans="1:11" x14ac:dyDescent="0.25">
      <c r="A414" s="65"/>
      <c r="B414" s="64"/>
      <c r="C414" s="64"/>
      <c r="D414" s="64"/>
      <c r="E414" s="64"/>
      <c r="F414" s="66"/>
      <c r="G414" s="64"/>
      <c r="H414" s="64"/>
      <c r="I414" s="157">
        <f>IF(A414="","",SUMIF($D$3:$D$414,"Inflow",$F$3:$F$414)-SUMIF($D$3:$D$414,"Outflow",$F$3:$F$414)+SUM(Bank_Accounts!$E$3:$E$22))</f>
      </c>
      <c r="J414" s="156"/>
      <c r="K414" s="64"/>
    </row>
    <row r="415" spans="1:11" x14ac:dyDescent="0.25">
      <c r="A415" s="65"/>
      <c r="B415" s="64"/>
      <c r="C415" s="64"/>
      <c r="D415" s="64"/>
      <c r="E415" s="64"/>
      <c r="F415" s="66"/>
      <c r="G415" s="64"/>
      <c r="H415" s="64"/>
      <c r="I415" s="157">
        <f>IF(A415="","",SUMIF($D$3:$D$415,"Inflow",$F$3:$F$415)-SUMIF($D$3:$D$415,"Outflow",$F$3:$F$415)+SUM(Bank_Accounts!$E$3:$E$22))</f>
      </c>
      <c r="J415" s="156"/>
      <c r="K415" s="64"/>
    </row>
    <row r="416" spans="1:11" x14ac:dyDescent="0.25">
      <c r="A416" s="65"/>
      <c r="B416" s="64"/>
      <c r="C416" s="64"/>
      <c r="D416" s="64"/>
      <c r="E416" s="64"/>
      <c r="F416" s="66"/>
      <c r="G416" s="64"/>
      <c r="H416" s="64"/>
      <c r="I416" s="157">
        <f>IF(A416="","",SUMIF($D$3:$D$416,"Inflow",$F$3:$F$416)-SUMIF($D$3:$D$416,"Outflow",$F$3:$F$416)+SUM(Bank_Accounts!$E$3:$E$22))</f>
      </c>
      <c r="J416" s="156"/>
      <c r="K416" s="64"/>
    </row>
    <row r="417" spans="1:11" x14ac:dyDescent="0.25">
      <c r="A417" s="65"/>
      <c r="B417" s="64"/>
      <c r="C417" s="64"/>
      <c r="D417" s="64"/>
      <c r="E417" s="64"/>
      <c r="F417" s="66"/>
      <c r="G417" s="64"/>
      <c r="H417" s="64"/>
      <c r="I417" s="157">
        <f>IF(A417="","",SUMIF($D$3:$D$417,"Inflow",$F$3:$F$417)-SUMIF($D$3:$D$417,"Outflow",$F$3:$F$417)+SUM(Bank_Accounts!$E$3:$E$22))</f>
      </c>
      <c r="J417" s="156"/>
      <c r="K417" s="64"/>
    </row>
    <row r="418" spans="1:11" x14ac:dyDescent="0.25">
      <c r="A418" s="65"/>
      <c r="B418" s="64"/>
      <c r="C418" s="64"/>
      <c r="D418" s="64"/>
      <c r="E418" s="64"/>
      <c r="F418" s="66"/>
      <c r="G418" s="64"/>
      <c r="H418" s="64"/>
      <c r="I418" s="157">
        <f>IF(A418="","",SUMIF($D$3:$D$418,"Inflow",$F$3:$F$418)-SUMIF($D$3:$D$418,"Outflow",$F$3:$F$418)+SUM(Bank_Accounts!$E$3:$E$22))</f>
      </c>
      <c r="J418" s="156"/>
      <c r="K418" s="64"/>
    </row>
    <row r="419" spans="1:11" x14ac:dyDescent="0.25">
      <c r="A419" s="65"/>
      <c r="B419" s="64"/>
      <c r="C419" s="64"/>
      <c r="D419" s="64"/>
      <c r="E419" s="64"/>
      <c r="F419" s="66"/>
      <c r="G419" s="64"/>
      <c r="H419" s="64"/>
      <c r="I419" s="157">
        <f>IF(A419="","",SUMIF($D$3:$D$419,"Inflow",$F$3:$F$419)-SUMIF($D$3:$D$419,"Outflow",$F$3:$F$419)+SUM(Bank_Accounts!$E$3:$E$22))</f>
      </c>
      <c r="J419" s="156"/>
      <c r="K419" s="64"/>
    </row>
    <row r="420" spans="1:11" x14ac:dyDescent="0.25">
      <c r="A420" s="65"/>
      <c r="B420" s="64"/>
      <c r="C420" s="64"/>
      <c r="D420" s="64"/>
      <c r="E420" s="64"/>
      <c r="F420" s="66"/>
      <c r="G420" s="64"/>
      <c r="H420" s="64"/>
      <c r="I420" s="157">
        <f>IF(A420="","",SUMIF($D$3:$D$420,"Inflow",$F$3:$F$420)-SUMIF($D$3:$D$420,"Outflow",$F$3:$F$420)+SUM(Bank_Accounts!$E$3:$E$22))</f>
      </c>
      <c r="J420" s="156"/>
      <c r="K420" s="64"/>
    </row>
    <row r="421" spans="1:11" x14ac:dyDescent="0.25">
      <c r="A421" s="65"/>
      <c r="B421" s="64"/>
      <c r="C421" s="64"/>
      <c r="D421" s="64"/>
      <c r="E421" s="64"/>
      <c r="F421" s="66"/>
      <c r="G421" s="64"/>
      <c r="H421" s="64"/>
      <c r="I421" s="157">
        <f>IF(A421="","",SUMIF($D$3:$D$421,"Inflow",$F$3:$F$421)-SUMIF($D$3:$D$421,"Outflow",$F$3:$F$421)+SUM(Bank_Accounts!$E$3:$E$22))</f>
      </c>
      <c r="J421" s="156"/>
      <c r="K421" s="64"/>
    </row>
    <row r="422" spans="1:11" x14ac:dyDescent="0.25">
      <c r="A422" s="65"/>
      <c r="B422" s="64"/>
      <c r="C422" s="64"/>
      <c r="D422" s="64"/>
      <c r="E422" s="64"/>
      <c r="F422" s="66"/>
      <c r="G422" s="64"/>
      <c r="H422" s="64"/>
      <c r="I422" s="157">
        <f>IF(A422="","",SUMIF($D$3:$D$422,"Inflow",$F$3:$F$422)-SUMIF($D$3:$D$422,"Outflow",$F$3:$F$422)+SUM(Bank_Accounts!$E$3:$E$22))</f>
      </c>
      <c r="J422" s="156"/>
      <c r="K422" s="64"/>
    </row>
    <row r="423" spans="1:11" x14ac:dyDescent="0.25">
      <c r="A423" s="65"/>
      <c r="B423" s="64"/>
      <c r="C423" s="64"/>
      <c r="D423" s="64"/>
      <c r="E423" s="64"/>
      <c r="F423" s="66"/>
      <c r="G423" s="64"/>
      <c r="H423" s="64"/>
      <c r="I423" s="157">
        <f>IF(A423="","",SUMIF($D$3:$D$423,"Inflow",$F$3:$F$423)-SUMIF($D$3:$D$423,"Outflow",$F$3:$F$423)+SUM(Bank_Accounts!$E$3:$E$22))</f>
      </c>
      <c r="J423" s="156"/>
      <c r="K423" s="64"/>
    </row>
    <row r="424" spans="1:11" x14ac:dyDescent="0.25">
      <c r="A424" s="65"/>
      <c r="B424" s="64"/>
      <c r="C424" s="64"/>
      <c r="D424" s="64"/>
      <c r="E424" s="64"/>
      <c r="F424" s="66"/>
      <c r="G424" s="64"/>
      <c r="H424" s="64"/>
      <c r="I424" s="157">
        <f>IF(A424="","",SUMIF($D$3:$D$424,"Inflow",$F$3:$F$424)-SUMIF($D$3:$D$424,"Outflow",$F$3:$F$424)+SUM(Bank_Accounts!$E$3:$E$22))</f>
      </c>
      <c r="J424" s="156"/>
      <c r="K424" s="64"/>
    </row>
    <row r="425" spans="1:11" x14ac:dyDescent="0.25">
      <c r="A425" s="65"/>
      <c r="B425" s="64"/>
      <c r="C425" s="64"/>
      <c r="D425" s="64"/>
      <c r="E425" s="64"/>
      <c r="F425" s="66"/>
      <c r="G425" s="64"/>
      <c r="H425" s="64"/>
      <c r="I425" s="157">
        <f>IF(A425="","",SUMIF($D$3:$D$425,"Inflow",$F$3:$F$425)-SUMIF($D$3:$D$425,"Outflow",$F$3:$F$425)+SUM(Bank_Accounts!$E$3:$E$22))</f>
      </c>
      <c r="J425" s="156"/>
      <c r="K425" s="64"/>
    </row>
    <row r="426" spans="1:11" x14ac:dyDescent="0.25">
      <c r="A426" s="65"/>
      <c r="B426" s="64"/>
      <c r="C426" s="64"/>
      <c r="D426" s="64"/>
      <c r="E426" s="64"/>
      <c r="F426" s="66"/>
      <c r="G426" s="64"/>
      <c r="H426" s="64"/>
      <c r="I426" s="157">
        <f>IF(A426="","",SUMIF($D$3:$D$426,"Inflow",$F$3:$F$426)-SUMIF($D$3:$D$426,"Outflow",$F$3:$F$426)+SUM(Bank_Accounts!$E$3:$E$22))</f>
      </c>
      <c r="J426" s="156"/>
      <c r="K426" s="64"/>
    </row>
    <row r="427" spans="1:11" x14ac:dyDescent="0.25">
      <c r="A427" s="65"/>
      <c r="B427" s="64"/>
      <c r="C427" s="64"/>
      <c r="D427" s="64"/>
      <c r="E427" s="64"/>
      <c r="F427" s="66"/>
      <c r="G427" s="64"/>
      <c r="H427" s="64"/>
      <c r="I427" s="157">
        <f>IF(A427="","",SUMIF($D$3:$D$427,"Inflow",$F$3:$F$427)-SUMIF($D$3:$D$427,"Outflow",$F$3:$F$427)+SUM(Bank_Accounts!$E$3:$E$22))</f>
      </c>
      <c r="J427" s="156"/>
      <c r="K427" s="64"/>
    </row>
    <row r="428" spans="1:11" x14ac:dyDescent="0.25">
      <c r="A428" s="65"/>
      <c r="B428" s="64"/>
      <c r="C428" s="64"/>
      <c r="D428" s="64"/>
      <c r="E428" s="64"/>
      <c r="F428" s="66"/>
      <c r="G428" s="64"/>
      <c r="H428" s="64"/>
      <c r="I428" s="157">
        <f>IF(A428="","",SUMIF($D$3:$D$428,"Inflow",$F$3:$F$428)-SUMIF($D$3:$D$428,"Outflow",$F$3:$F$428)+SUM(Bank_Accounts!$E$3:$E$22))</f>
      </c>
      <c r="J428" s="156"/>
      <c r="K428" s="64"/>
    </row>
    <row r="429" spans="1:11" x14ac:dyDescent="0.25">
      <c r="A429" s="65"/>
      <c r="B429" s="64"/>
      <c r="C429" s="64"/>
      <c r="D429" s="64"/>
      <c r="E429" s="64"/>
      <c r="F429" s="66"/>
      <c r="G429" s="64"/>
      <c r="H429" s="64"/>
      <c r="I429" s="157">
        <f>IF(A429="","",SUMIF($D$3:$D$429,"Inflow",$F$3:$F$429)-SUMIF($D$3:$D$429,"Outflow",$F$3:$F$429)+SUM(Bank_Accounts!$E$3:$E$22))</f>
      </c>
      <c r="J429" s="156"/>
      <c r="K429" s="64"/>
    </row>
    <row r="430" spans="1:11" x14ac:dyDescent="0.25">
      <c r="A430" s="65"/>
      <c r="B430" s="64"/>
      <c r="C430" s="64"/>
      <c r="D430" s="64"/>
      <c r="E430" s="64"/>
      <c r="F430" s="66"/>
      <c r="G430" s="64"/>
      <c r="H430" s="64"/>
      <c r="I430" s="157">
        <f>IF(A430="","",SUMIF($D$3:$D$430,"Inflow",$F$3:$F$430)-SUMIF($D$3:$D$430,"Outflow",$F$3:$F$430)+SUM(Bank_Accounts!$E$3:$E$22))</f>
      </c>
      <c r="J430" s="156"/>
      <c r="K430" s="64"/>
    </row>
    <row r="431" spans="1:11" x14ac:dyDescent="0.25">
      <c r="A431" s="65"/>
      <c r="B431" s="64"/>
      <c r="C431" s="64"/>
      <c r="D431" s="64"/>
      <c r="E431" s="64"/>
      <c r="F431" s="66"/>
      <c r="G431" s="64"/>
      <c r="H431" s="64"/>
      <c r="I431" s="157">
        <f>IF(A431="","",SUMIF($D$3:$D$431,"Inflow",$F$3:$F$431)-SUMIF($D$3:$D$431,"Outflow",$F$3:$F$431)+SUM(Bank_Accounts!$E$3:$E$22))</f>
      </c>
      <c r="J431" s="156"/>
      <c r="K431" s="64"/>
    </row>
    <row r="432" spans="1:11" x14ac:dyDescent="0.25">
      <c r="A432" s="65"/>
      <c r="B432" s="64"/>
      <c r="C432" s="64"/>
      <c r="D432" s="64"/>
      <c r="E432" s="64"/>
      <c r="F432" s="66"/>
      <c r="G432" s="64"/>
      <c r="H432" s="64"/>
      <c r="I432" s="157">
        <f>IF(A432="","",SUMIF($D$3:$D$432,"Inflow",$F$3:$F$432)-SUMIF($D$3:$D$432,"Outflow",$F$3:$F$432)+SUM(Bank_Accounts!$E$3:$E$22))</f>
      </c>
      <c r="J432" s="156"/>
      <c r="K432" s="64"/>
    </row>
    <row r="433" spans="1:11" x14ac:dyDescent="0.25">
      <c r="A433" s="65"/>
      <c r="B433" s="64"/>
      <c r="C433" s="64"/>
      <c r="D433" s="64"/>
      <c r="E433" s="64"/>
      <c r="F433" s="66"/>
      <c r="G433" s="64"/>
      <c r="H433" s="64"/>
      <c r="I433" s="157">
        <f>IF(A433="","",SUMIF($D$3:$D$433,"Inflow",$F$3:$F$433)-SUMIF($D$3:$D$433,"Outflow",$F$3:$F$433)+SUM(Bank_Accounts!$E$3:$E$22))</f>
      </c>
      <c r="J433" s="156"/>
      <c r="K433" s="64"/>
    </row>
    <row r="434" spans="1:11" x14ac:dyDescent="0.25">
      <c r="A434" s="65"/>
      <c r="B434" s="64"/>
      <c r="C434" s="64"/>
      <c r="D434" s="64"/>
      <c r="E434" s="64"/>
      <c r="F434" s="66"/>
      <c r="G434" s="64"/>
      <c r="H434" s="64"/>
      <c r="I434" s="157">
        <f>IF(A434="","",SUMIF($D$3:$D$434,"Inflow",$F$3:$F$434)-SUMIF($D$3:$D$434,"Outflow",$F$3:$F$434)+SUM(Bank_Accounts!$E$3:$E$22))</f>
      </c>
      <c r="J434" s="156"/>
      <c r="K434" s="64"/>
    </row>
    <row r="435" spans="1:11" x14ac:dyDescent="0.25">
      <c r="A435" s="65"/>
      <c r="B435" s="64"/>
      <c r="C435" s="64"/>
      <c r="D435" s="64"/>
      <c r="E435" s="64"/>
      <c r="F435" s="66"/>
      <c r="G435" s="64"/>
      <c r="H435" s="64"/>
      <c r="I435" s="157">
        <f>IF(A435="","",SUMIF($D$3:$D$435,"Inflow",$F$3:$F$435)-SUMIF($D$3:$D$435,"Outflow",$F$3:$F$435)+SUM(Bank_Accounts!$E$3:$E$22))</f>
      </c>
      <c r="J435" s="156"/>
      <c r="K435" s="64"/>
    </row>
    <row r="436" spans="1:11" x14ac:dyDescent="0.25">
      <c r="A436" s="65"/>
      <c r="B436" s="64"/>
      <c r="C436" s="64"/>
      <c r="D436" s="64"/>
      <c r="E436" s="64"/>
      <c r="F436" s="66"/>
      <c r="G436" s="64"/>
      <c r="H436" s="64"/>
      <c r="I436" s="157">
        <f>IF(A436="","",SUMIF($D$3:$D$436,"Inflow",$F$3:$F$436)-SUMIF($D$3:$D$436,"Outflow",$F$3:$F$436)+SUM(Bank_Accounts!$E$3:$E$22))</f>
      </c>
      <c r="J436" s="156"/>
      <c r="K436" s="64"/>
    </row>
    <row r="437" spans="1:11" x14ac:dyDescent="0.25">
      <c r="A437" s="65"/>
      <c r="B437" s="64"/>
      <c r="C437" s="64"/>
      <c r="D437" s="64"/>
      <c r="E437" s="64"/>
      <c r="F437" s="66"/>
      <c r="G437" s="64"/>
      <c r="H437" s="64"/>
      <c r="I437" s="157">
        <f>IF(A437="","",SUMIF($D$3:$D$437,"Inflow",$F$3:$F$437)-SUMIF($D$3:$D$437,"Outflow",$F$3:$F$437)+SUM(Bank_Accounts!$E$3:$E$22))</f>
      </c>
      <c r="J437" s="156"/>
      <c r="K437" s="64"/>
    </row>
    <row r="438" spans="1:11" x14ac:dyDescent="0.25">
      <c r="A438" s="65"/>
      <c r="B438" s="64"/>
      <c r="C438" s="64"/>
      <c r="D438" s="64"/>
      <c r="E438" s="64"/>
      <c r="F438" s="66"/>
      <c r="G438" s="64"/>
      <c r="H438" s="64"/>
      <c r="I438" s="157">
        <f>IF(A438="","",SUMIF($D$3:$D$438,"Inflow",$F$3:$F$438)-SUMIF($D$3:$D$438,"Outflow",$F$3:$F$438)+SUM(Bank_Accounts!$E$3:$E$22))</f>
      </c>
      <c r="J438" s="156"/>
      <c r="K438" s="64"/>
    </row>
    <row r="439" spans="1:11" x14ac:dyDescent="0.25">
      <c r="A439" s="65"/>
      <c r="B439" s="64"/>
      <c r="C439" s="64"/>
      <c r="D439" s="64"/>
      <c r="E439" s="64"/>
      <c r="F439" s="66"/>
      <c r="G439" s="64"/>
      <c r="H439" s="64"/>
      <c r="I439" s="157">
        <f>IF(A439="","",SUMIF($D$3:$D$439,"Inflow",$F$3:$F$439)-SUMIF($D$3:$D$439,"Outflow",$F$3:$F$439)+SUM(Bank_Accounts!$E$3:$E$22))</f>
      </c>
      <c r="J439" s="156"/>
      <c r="K439" s="64"/>
    </row>
    <row r="440" spans="1:11" x14ac:dyDescent="0.25">
      <c r="A440" s="65"/>
      <c r="B440" s="64"/>
      <c r="C440" s="64"/>
      <c r="D440" s="64"/>
      <c r="E440" s="64"/>
      <c r="F440" s="66"/>
      <c r="G440" s="64"/>
      <c r="H440" s="64"/>
      <c r="I440" s="157">
        <f>IF(A440="","",SUMIF($D$3:$D$440,"Inflow",$F$3:$F$440)-SUMIF($D$3:$D$440,"Outflow",$F$3:$F$440)+SUM(Bank_Accounts!$E$3:$E$22))</f>
      </c>
      <c r="J440" s="156"/>
      <c r="K440" s="64"/>
    </row>
    <row r="441" spans="1:11" x14ac:dyDescent="0.25">
      <c r="A441" s="65"/>
      <c r="B441" s="64"/>
      <c r="C441" s="64"/>
      <c r="D441" s="64"/>
      <c r="E441" s="64"/>
      <c r="F441" s="66"/>
      <c r="G441" s="64"/>
      <c r="H441" s="64"/>
      <c r="I441" s="157">
        <f>IF(A441="","",SUMIF($D$3:$D$441,"Inflow",$F$3:$F$441)-SUMIF($D$3:$D$441,"Outflow",$F$3:$F$441)+SUM(Bank_Accounts!$E$3:$E$22))</f>
      </c>
      <c r="J441" s="156"/>
      <c r="K441" s="64"/>
    </row>
    <row r="442" spans="1:11" x14ac:dyDescent="0.25">
      <c r="A442" s="65"/>
      <c r="B442" s="64"/>
      <c r="C442" s="64"/>
      <c r="D442" s="64"/>
      <c r="E442" s="64"/>
      <c r="F442" s="66"/>
      <c r="G442" s="64"/>
      <c r="H442" s="64"/>
      <c r="I442" s="157">
        <f>IF(A442="","",SUMIF($D$3:$D$442,"Inflow",$F$3:$F$442)-SUMIF($D$3:$D$442,"Outflow",$F$3:$F$442)+SUM(Bank_Accounts!$E$3:$E$22))</f>
      </c>
      <c r="J442" s="156"/>
      <c r="K442" s="64"/>
    </row>
    <row r="443" spans="1:11" x14ac:dyDescent="0.25">
      <c r="A443" s="65"/>
      <c r="B443" s="64"/>
      <c r="C443" s="64"/>
      <c r="D443" s="64"/>
      <c r="E443" s="64"/>
      <c r="F443" s="66"/>
      <c r="G443" s="64"/>
      <c r="H443" s="64"/>
      <c r="I443" s="157">
        <f>IF(A443="","",SUMIF($D$3:$D$443,"Inflow",$F$3:$F$443)-SUMIF($D$3:$D$443,"Outflow",$F$3:$F$443)+SUM(Bank_Accounts!$E$3:$E$22))</f>
      </c>
      <c r="J443" s="156"/>
      <c r="K443" s="64"/>
    </row>
    <row r="444" spans="1:11" x14ac:dyDescent="0.25">
      <c r="A444" s="65"/>
      <c r="B444" s="64"/>
      <c r="C444" s="64"/>
      <c r="D444" s="64"/>
      <c r="E444" s="64"/>
      <c r="F444" s="66"/>
      <c r="G444" s="64"/>
      <c r="H444" s="64"/>
      <c r="I444" s="157">
        <f>IF(A444="","",SUMIF($D$3:$D$444,"Inflow",$F$3:$F$444)-SUMIF($D$3:$D$444,"Outflow",$F$3:$F$444)+SUM(Bank_Accounts!$E$3:$E$22))</f>
      </c>
      <c r="J444" s="156"/>
      <c r="K444" s="64"/>
    </row>
    <row r="445" spans="1:11" x14ac:dyDescent="0.25">
      <c r="A445" s="65"/>
      <c r="B445" s="64"/>
      <c r="C445" s="64"/>
      <c r="D445" s="64"/>
      <c r="E445" s="64"/>
      <c r="F445" s="66"/>
      <c r="G445" s="64"/>
      <c r="H445" s="64"/>
      <c r="I445" s="157">
        <f>IF(A445="","",SUMIF($D$3:$D$445,"Inflow",$F$3:$F$445)-SUMIF($D$3:$D$445,"Outflow",$F$3:$F$445)+SUM(Bank_Accounts!$E$3:$E$22))</f>
      </c>
      <c r="J445" s="156"/>
      <c r="K445" s="64"/>
    </row>
    <row r="446" spans="1:11" x14ac:dyDescent="0.25">
      <c r="A446" s="65"/>
      <c r="B446" s="64"/>
      <c r="C446" s="64"/>
      <c r="D446" s="64"/>
      <c r="E446" s="64"/>
      <c r="F446" s="66"/>
      <c r="G446" s="64"/>
      <c r="H446" s="64"/>
      <c r="I446" s="157">
        <f>IF(A446="","",SUMIF($D$3:$D$446,"Inflow",$F$3:$F$446)-SUMIF($D$3:$D$446,"Outflow",$F$3:$F$446)+SUM(Bank_Accounts!$E$3:$E$22))</f>
      </c>
      <c r="J446" s="156"/>
      <c r="K446" s="64"/>
    </row>
    <row r="447" spans="1:11" x14ac:dyDescent="0.25">
      <c r="A447" s="65"/>
      <c r="B447" s="64"/>
      <c r="C447" s="64"/>
      <c r="D447" s="64"/>
      <c r="E447" s="64"/>
      <c r="F447" s="66"/>
      <c r="G447" s="64"/>
      <c r="H447" s="64"/>
      <c r="I447" s="157">
        <f>IF(A447="","",SUMIF($D$3:$D$447,"Inflow",$F$3:$F$447)-SUMIF($D$3:$D$447,"Outflow",$F$3:$F$447)+SUM(Bank_Accounts!$E$3:$E$22))</f>
      </c>
      <c r="J447" s="156"/>
      <c r="K447" s="64"/>
    </row>
    <row r="448" spans="1:11" x14ac:dyDescent="0.25">
      <c r="A448" s="65"/>
      <c r="B448" s="64"/>
      <c r="C448" s="64"/>
      <c r="D448" s="64"/>
      <c r="E448" s="64"/>
      <c r="F448" s="66"/>
      <c r="G448" s="64"/>
      <c r="H448" s="64"/>
      <c r="I448" s="157">
        <f>IF(A448="","",SUMIF($D$3:$D$448,"Inflow",$F$3:$F$448)-SUMIF($D$3:$D$448,"Outflow",$F$3:$F$448)+SUM(Bank_Accounts!$E$3:$E$22))</f>
      </c>
      <c r="J448" s="156"/>
      <c r="K448" s="64"/>
    </row>
    <row r="449" spans="1:11" x14ac:dyDescent="0.25">
      <c r="A449" s="65"/>
      <c r="B449" s="64"/>
      <c r="C449" s="64"/>
      <c r="D449" s="64"/>
      <c r="E449" s="64"/>
      <c r="F449" s="66"/>
      <c r="G449" s="64"/>
      <c r="H449" s="64"/>
      <c r="I449" s="157">
        <f>IF(A449="","",SUMIF($D$3:$D$449,"Inflow",$F$3:$F$449)-SUMIF($D$3:$D$449,"Outflow",$F$3:$F$449)+SUM(Bank_Accounts!$E$3:$E$22))</f>
      </c>
      <c r="J449" s="156"/>
      <c r="K449" s="64"/>
    </row>
    <row r="450" spans="1:11" x14ac:dyDescent="0.25">
      <c r="A450" s="65"/>
      <c r="B450" s="64"/>
      <c r="C450" s="64"/>
      <c r="D450" s="64"/>
      <c r="E450" s="64"/>
      <c r="F450" s="66"/>
      <c r="G450" s="64"/>
      <c r="H450" s="64"/>
      <c r="I450" s="157">
        <f>IF(A450="","",SUMIF($D$3:$D$450,"Inflow",$F$3:$F$450)-SUMIF($D$3:$D$450,"Outflow",$F$3:$F$450)+SUM(Bank_Accounts!$E$3:$E$22))</f>
      </c>
      <c r="J450" s="156"/>
      <c r="K450" s="64"/>
    </row>
    <row r="451" spans="1:11" x14ac:dyDescent="0.25">
      <c r="A451" s="65"/>
      <c r="B451" s="64"/>
      <c r="C451" s="64"/>
      <c r="D451" s="64"/>
      <c r="E451" s="64"/>
      <c r="F451" s="66"/>
      <c r="G451" s="64"/>
      <c r="H451" s="64"/>
      <c r="I451" s="157">
        <f>IF(A451="","",SUMIF($D$3:$D$451,"Inflow",$F$3:$F$451)-SUMIF($D$3:$D$451,"Outflow",$F$3:$F$451)+SUM(Bank_Accounts!$E$3:$E$22))</f>
      </c>
      <c r="J451" s="156"/>
      <c r="K451" s="64"/>
    </row>
    <row r="452" spans="1:11" x14ac:dyDescent="0.25">
      <c r="A452" s="65"/>
      <c r="B452" s="64"/>
      <c r="C452" s="64"/>
      <c r="D452" s="64"/>
      <c r="E452" s="64"/>
      <c r="F452" s="66"/>
      <c r="G452" s="64"/>
      <c r="H452" s="64"/>
      <c r="I452" s="157">
        <f>IF(A452="","",SUMIF($D$3:$D$452,"Inflow",$F$3:$F$452)-SUMIF($D$3:$D$452,"Outflow",$F$3:$F$452)+SUM(Bank_Accounts!$E$3:$E$22))</f>
      </c>
      <c r="J452" s="156"/>
      <c r="K452" s="64"/>
    </row>
    <row r="453" spans="1:11" x14ac:dyDescent="0.25">
      <c r="A453" s="65"/>
      <c r="B453" s="64"/>
      <c r="C453" s="64"/>
      <c r="D453" s="64"/>
      <c r="E453" s="64"/>
      <c r="F453" s="66"/>
      <c r="G453" s="64"/>
      <c r="H453" s="64"/>
      <c r="I453" s="157">
        <f>IF(A453="","",SUMIF($D$3:$D$453,"Inflow",$F$3:$F$453)-SUMIF($D$3:$D$453,"Outflow",$F$3:$F$453)+SUM(Bank_Accounts!$E$3:$E$22))</f>
      </c>
      <c r="J453" s="156"/>
      <c r="K453" s="64"/>
    </row>
    <row r="454" spans="1:11" x14ac:dyDescent="0.25">
      <c r="A454" s="65"/>
      <c r="B454" s="64"/>
      <c r="C454" s="64"/>
      <c r="D454" s="64"/>
      <c r="E454" s="64"/>
      <c r="F454" s="66"/>
      <c r="G454" s="64"/>
      <c r="H454" s="64"/>
      <c r="I454" s="157">
        <f>IF(A454="","",SUMIF($D$3:$D$454,"Inflow",$F$3:$F$454)-SUMIF($D$3:$D$454,"Outflow",$F$3:$F$454)+SUM(Bank_Accounts!$E$3:$E$22))</f>
      </c>
      <c r="J454" s="156"/>
      <c r="K454" s="64"/>
    </row>
    <row r="455" spans="1:11" x14ac:dyDescent="0.25">
      <c r="A455" s="65"/>
      <c r="B455" s="64"/>
      <c r="C455" s="64"/>
      <c r="D455" s="64"/>
      <c r="E455" s="64"/>
      <c r="F455" s="66"/>
      <c r="G455" s="64"/>
      <c r="H455" s="64"/>
      <c r="I455" s="157">
        <f>IF(A455="","",SUMIF($D$3:$D$455,"Inflow",$F$3:$F$455)-SUMIF($D$3:$D$455,"Outflow",$F$3:$F$455)+SUM(Bank_Accounts!$E$3:$E$22))</f>
      </c>
      <c r="J455" s="156"/>
      <c r="K455" s="64"/>
    </row>
    <row r="456" spans="1:11" x14ac:dyDescent="0.25">
      <c r="A456" s="65"/>
      <c r="B456" s="64"/>
      <c r="C456" s="64"/>
      <c r="D456" s="64"/>
      <c r="E456" s="64"/>
      <c r="F456" s="66"/>
      <c r="G456" s="64"/>
      <c r="H456" s="64"/>
      <c r="I456" s="157">
        <f>IF(A456="","",SUMIF($D$3:$D$456,"Inflow",$F$3:$F$456)-SUMIF($D$3:$D$456,"Outflow",$F$3:$F$456)+SUM(Bank_Accounts!$E$3:$E$22))</f>
      </c>
      <c r="J456" s="156"/>
      <c r="K456" s="64"/>
    </row>
    <row r="457" spans="1:11" x14ac:dyDescent="0.25">
      <c r="A457" s="65"/>
      <c r="B457" s="64"/>
      <c r="C457" s="64"/>
      <c r="D457" s="64"/>
      <c r="E457" s="64"/>
      <c r="F457" s="66"/>
      <c r="G457" s="64"/>
      <c r="H457" s="64"/>
      <c r="I457" s="157">
        <f>IF(A457="","",SUMIF($D$3:$D$457,"Inflow",$F$3:$F$457)-SUMIF($D$3:$D$457,"Outflow",$F$3:$F$457)+SUM(Bank_Accounts!$E$3:$E$22))</f>
      </c>
      <c r="J457" s="156"/>
      <c r="K457" s="64"/>
    </row>
    <row r="458" spans="1:11" x14ac:dyDescent="0.25">
      <c r="A458" s="65"/>
      <c r="B458" s="64"/>
      <c r="C458" s="64"/>
      <c r="D458" s="64"/>
      <c r="E458" s="64"/>
      <c r="F458" s="66"/>
      <c r="G458" s="64"/>
      <c r="H458" s="64"/>
      <c r="I458" s="157">
        <f>IF(A458="","",SUMIF($D$3:$D$458,"Inflow",$F$3:$F$458)-SUMIF($D$3:$D$458,"Outflow",$F$3:$F$458)+SUM(Bank_Accounts!$E$3:$E$22))</f>
      </c>
      <c r="J458" s="156"/>
      <c r="K458" s="64"/>
    </row>
    <row r="459" spans="1:11" x14ac:dyDescent="0.25">
      <c r="A459" s="65"/>
      <c r="B459" s="64"/>
      <c r="C459" s="64"/>
      <c r="D459" s="64"/>
      <c r="E459" s="64"/>
      <c r="F459" s="66"/>
      <c r="G459" s="64"/>
      <c r="H459" s="64"/>
      <c r="I459" s="157">
        <f>IF(A459="","",SUMIF($D$3:$D$459,"Inflow",$F$3:$F$459)-SUMIF($D$3:$D$459,"Outflow",$F$3:$F$459)+SUM(Bank_Accounts!$E$3:$E$22))</f>
      </c>
      <c r="J459" s="156"/>
      <c r="K459" s="64"/>
    </row>
    <row r="460" spans="1:11" x14ac:dyDescent="0.25">
      <c r="A460" s="65"/>
      <c r="B460" s="64"/>
      <c r="C460" s="64"/>
      <c r="D460" s="64"/>
      <c r="E460" s="64"/>
      <c r="F460" s="66"/>
      <c r="G460" s="64"/>
      <c r="H460" s="64"/>
      <c r="I460" s="157">
        <f>IF(A460="","",SUMIF($D$3:$D$460,"Inflow",$F$3:$F$460)-SUMIF($D$3:$D$460,"Outflow",$F$3:$F$460)+SUM(Bank_Accounts!$E$3:$E$22))</f>
      </c>
      <c r="J460" s="156"/>
      <c r="K460" s="64"/>
    </row>
    <row r="461" spans="1:11" x14ac:dyDescent="0.25">
      <c r="A461" s="65"/>
      <c r="B461" s="64"/>
      <c r="C461" s="64"/>
      <c r="D461" s="64"/>
      <c r="E461" s="64"/>
      <c r="F461" s="66"/>
      <c r="G461" s="64"/>
      <c r="H461" s="64"/>
      <c r="I461" s="157">
        <f>IF(A461="","",SUMIF($D$3:$D$461,"Inflow",$F$3:$F$461)-SUMIF($D$3:$D$461,"Outflow",$F$3:$F$461)+SUM(Bank_Accounts!$E$3:$E$22))</f>
      </c>
      <c r="J461" s="156"/>
      <c r="K461" s="64"/>
    </row>
    <row r="462" spans="1:11" x14ac:dyDescent="0.25">
      <c r="A462" s="65"/>
      <c r="B462" s="64"/>
      <c r="C462" s="64"/>
      <c r="D462" s="64"/>
      <c r="E462" s="64"/>
      <c r="F462" s="66"/>
      <c r="G462" s="64"/>
      <c r="H462" s="64"/>
      <c r="I462" s="157">
        <f>IF(A462="","",SUMIF($D$3:$D$462,"Inflow",$F$3:$F$462)-SUMIF($D$3:$D$462,"Outflow",$F$3:$F$462)+SUM(Bank_Accounts!$E$3:$E$22))</f>
      </c>
      <c r="J462" s="156"/>
      <c r="K462" s="64"/>
    </row>
    <row r="463" spans="1:11" x14ac:dyDescent="0.25">
      <c r="A463" s="65"/>
      <c r="B463" s="64"/>
      <c r="C463" s="64"/>
      <c r="D463" s="64"/>
      <c r="E463" s="64"/>
      <c r="F463" s="66"/>
      <c r="G463" s="64"/>
      <c r="H463" s="64"/>
      <c r="I463" s="157">
        <f>IF(A463="","",SUMIF($D$3:$D$463,"Inflow",$F$3:$F$463)-SUMIF($D$3:$D$463,"Outflow",$F$3:$F$463)+SUM(Bank_Accounts!$E$3:$E$22))</f>
      </c>
      <c r="J463" s="156"/>
      <c r="K463" s="64"/>
    </row>
    <row r="464" spans="1:11" x14ac:dyDescent="0.25">
      <c r="A464" s="65"/>
      <c r="B464" s="64"/>
      <c r="C464" s="64"/>
      <c r="D464" s="64"/>
      <c r="E464" s="64"/>
      <c r="F464" s="66"/>
      <c r="G464" s="64"/>
      <c r="H464" s="64"/>
      <c r="I464" s="157">
        <f>IF(A464="","",SUMIF($D$3:$D$464,"Inflow",$F$3:$F$464)-SUMIF($D$3:$D$464,"Outflow",$F$3:$F$464)+SUM(Bank_Accounts!$E$3:$E$22))</f>
      </c>
      <c r="J464" s="156"/>
      <c r="K464" s="64"/>
    </row>
    <row r="465" spans="1:11" x14ac:dyDescent="0.25">
      <c r="A465" s="65"/>
      <c r="B465" s="64"/>
      <c r="C465" s="64"/>
      <c r="D465" s="64"/>
      <c r="E465" s="64"/>
      <c r="F465" s="66"/>
      <c r="G465" s="64"/>
      <c r="H465" s="64"/>
      <c r="I465" s="157">
        <f>IF(A465="","",SUMIF($D$3:$D$465,"Inflow",$F$3:$F$465)-SUMIF($D$3:$D$465,"Outflow",$F$3:$F$465)+SUM(Bank_Accounts!$E$3:$E$22))</f>
      </c>
      <c r="J465" s="156"/>
      <c r="K465" s="64"/>
    </row>
    <row r="466" spans="1:11" x14ac:dyDescent="0.25">
      <c r="A466" s="65"/>
      <c r="B466" s="64"/>
      <c r="C466" s="64"/>
      <c r="D466" s="64"/>
      <c r="E466" s="64"/>
      <c r="F466" s="66"/>
      <c r="G466" s="64"/>
      <c r="H466" s="64"/>
      <c r="I466" s="157">
        <f>IF(A466="","",SUMIF($D$3:$D$466,"Inflow",$F$3:$F$466)-SUMIF($D$3:$D$466,"Outflow",$F$3:$F$466)+SUM(Bank_Accounts!$E$3:$E$22))</f>
      </c>
      <c r="J466" s="156"/>
      <c r="K466" s="64"/>
    </row>
    <row r="467" spans="1:11" x14ac:dyDescent="0.25">
      <c r="A467" s="65"/>
      <c r="B467" s="64"/>
      <c r="C467" s="64"/>
      <c r="D467" s="64"/>
      <c r="E467" s="64"/>
      <c r="F467" s="66"/>
      <c r="G467" s="64"/>
      <c r="H467" s="64"/>
      <c r="I467" s="157">
        <f>IF(A467="","",SUMIF($D$3:$D$467,"Inflow",$F$3:$F$467)-SUMIF($D$3:$D$467,"Outflow",$F$3:$F$467)+SUM(Bank_Accounts!$E$3:$E$22))</f>
      </c>
      <c r="J467" s="156"/>
      <c r="K467" s="64"/>
    </row>
    <row r="468" spans="1:11" x14ac:dyDescent="0.25">
      <c r="A468" s="65"/>
      <c r="B468" s="64"/>
      <c r="C468" s="64"/>
      <c r="D468" s="64"/>
      <c r="E468" s="64"/>
      <c r="F468" s="66"/>
      <c r="G468" s="64"/>
      <c r="H468" s="64"/>
      <c r="I468" s="157">
        <f>IF(A468="","",SUMIF($D$3:$D$468,"Inflow",$F$3:$F$468)-SUMIF($D$3:$D$468,"Outflow",$F$3:$F$468)+SUM(Bank_Accounts!$E$3:$E$22))</f>
      </c>
      <c r="J468" s="156"/>
      <c r="K468" s="64"/>
    </row>
    <row r="469" spans="1:11" x14ac:dyDescent="0.25">
      <c r="A469" s="65"/>
      <c r="B469" s="64"/>
      <c r="C469" s="64"/>
      <c r="D469" s="64"/>
      <c r="E469" s="64"/>
      <c r="F469" s="66"/>
      <c r="G469" s="64"/>
      <c r="H469" s="64"/>
      <c r="I469" s="157">
        <f>IF(A469="","",SUMIF($D$3:$D$469,"Inflow",$F$3:$F$469)-SUMIF($D$3:$D$469,"Outflow",$F$3:$F$469)+SUM(Bank_Accounts!$E$3:$E$22))</f>
      </c>
      <c r="J469" s="156"/>
      <c r="K469" s="64"/>
    </row>
    <row r="470" spans="1:11" x14ac:dyDescent="0.25">
      <c r="A470" s="65"/>
      <c r="B470" s="64"/>
      <c r="C470" s="64"/>
      <c r="D470" s="64"/>
      <c r="E470" s="64"/>
      <c r="F470" s="66"/>
      <c r="G470" s="64"/>
      <c r="H470" s="64"/>
      <c r="I470" s="157">
        <f>IF(A470="","",SUMIF($D$3:$D$470,"Inflow",$F$3:$F$470)-SUMIF($D$3:$D$470,"Outflow",$F$3:$F$470)+SUM(Bank_Accounts!$E$3:$E$22))</f>
      </c>
      <c r="J470" s="156"/>
      <c r="K470" s="64"/>
    </row>
    <row r="471" spans="1:11" x14ac:dyDescent="0.25">
      <c r="A471" s="65"/>
      <c r="B471" s="64"/>
      <c r="C471" s="64"/>
      <c r="D471" s="64"/>
      <c r="E471" s="64"/>
      <c r="F471" s="66"/>
      <c r="G471" s="64"/>
      <c r="H471" s="64"/>
      <c r="I471" s="157">
        <f>IF(A471="","",SUMIF($D$3:$D$471,"Inflow",$F$3:$F$471)-SUMIF($D$3:$D$471,"Outflow",$F$3:$F$471)+SUM(Bank_Accounts!$E$3:$E$22))</f>
      </c>
      <c r="J471" s="156"/>
      <c r="K471" s="64"/>
    </row>
    <row r="472" spans="1:11" x14ac:dyDescent="0.25">
      <c r="A472" s="65"/>
      <c r="B472" s="64"/>
      <c r="C472" s="64"/>
      <c r="D472" s="64"/>
      <c r="E472" s="64"/>
      <c r="F472" s="66"/>
      <c r="G472" s="64"/>
      <c r="H472" s="64"/>
      <c r="I472" s="157">
        <f>IF(A472="","",SUMIF($D$3:$D$472,"Inflow",$F$3:$F$472)-SUMIF($D$3:$D$472,"Outflow",$F$3:$F$472)+SUM(Bank_Accounts!$E$3:$E$22))</f>
      </c>
      <c r="J472" s="156"/>
      <c r="K472" s="64"/>
    </row>
    <row r="473" spans="1:11" x14ac:dyDescent="0.25">
      <c r="A473" s="65"/>
      <c r="B473" s="64"/>
      <c r="C473" s="64"/>
      <c r="D473" s="64"/>
      <c r="E473" s="64"/>
      <c r="F473" s="66"/>
      <c r="G473" s="64"/>
      <c r="H473" s="64"/>
      <c r="I473" s="157">
        <f>IF(A473="","",SUMIF($D$3:$D$473,"Inflow",$F$3:$F$473)-SUMIF($D$3:$D$473,"Outflow",$F$3:$F$473)+SUM(Bank_Accounts!$E$3:$E$22))</f>
      </c>
      <c r="J473" s="156"/>
      <c r="K473" s="64"/>
    </row>
    <row r="474" spans="1:11" x14ac:dyDescent="0.25">
      <c r="A474" s="65"/>
      <c r="B474" s="64"/>
      <c r="C474" s="64"/>
      <c r="D474" s="64"/>
      <c r="E474" s="64"/>
      <c r="F474" s="66"/>
      <c r="G474" s="64"/>
      <c r="H474" s="64"/>
      <c r="I474" s="157">
        <f>IF(A474="","",SUMIF($D$3:$D$474,"Inflow",$F$3:$F$474)-SUMIF($D$3:$D$474,"Outflow",$F$3:$F$474)+SUM(Bank_Accounts!$E$3:$E$22))</f>
      </c>
      <c r="J474" s="156"/>
      <c r="K474" s="64"/>
    </row>
    <row r="475" spans="1:11" x14ac:dyDescent="0.25">
      <c r="A475" s="65"/>
      <c r="B475" s="64"/>
      <c r="C475" s="64"/>
      <c r="D475" s="64"/>
      <c r="E475" s="64"/>
      <c r="F475" s="66"/>
      <c r="G475" s="64"/>
      <c r="H475" s="64"/>
      <c r="I475" s="157">
        <f>IF(A475="","",SUMIF($D$3:$D$475,"Inflow",$F$3:$F$475)-SUMIF($D$3:$D$475,"Outflow",$F$3:$F$475)+SUM(Bank_Accounts!$E$3:$E$22))</f>
      </c>
      <c r="J475" s="156"/>
      <c r="K475" s="64"/>
    </row>
    <row r="476" spans="1:11" x14ac:dyDescent="0.25">
      <c r="A476" s="65"/>
      <c r="B476" s="64"/>
      <c r="C476" s="64"/>
      <c r="D476" s="64"/>
      <c r="E476" s="64"/>
      <c r="F476" s="66"/>
      <c r="G476" s="64"/>
      <c r="H476" s="64"/>
      <c r="I476" s="157">
        <f>IF(A476="","",SUMIF($D$3:$D$476,"Inflow",$F$3:$F$476)-SUMIF($D$3:$D$476,"Outflow",$F$3:$F$476)+SUM(Bank_Accounts!$E$3:$E$22))</f>
      </c>
      <c r="J476" s="156"/>
      <c r="K476" s="64"/>
    </row>
    <row r="477" spans="1:11" x14ac:dyDescent="0.25">
      <c r="A477" s="65"/>
      <c r="B477" s="64"/>
      <c r="C477" s="64"/>
      <c r="D477" s="64"/>
      <c r="E477" s="64"/>
      <c r="F477" s="66"/>
      <c r="G477" s="64"/>
      <c r="H477" s="64"/>
      <c r="I477" s="157">
        <f>IF(A477="","",SUMIF($D$3:$D$477,"Inflow",$F$3:$F$477)-SUMIF($D$3:$D$477,"Outflow",$F$3:$F$477)+SUM(Bank_Accounts!$E$3:$E$22))</f>
      </c>
      <c r="J477" s="156"/>
      <c r="K477" s="64"/>
    </row>
    <row r="478" spans="1:11" x14ac:dyDescent="0.25">
      <c r="A478" s="65"/>
      <c r="B478" s="64"/>
      <c r="C478" s="64"/>
      <c r="D478" s="64"/>
      <c r="E478" s="64"/>
      <c r="F478" s="66"/>
      <c r="G478" s="64"/>
      <c r="H478" s="64"/>
      <c r="I478" s="157">
        <f>IF(A478="","",SUMIF($D$3:$D$478,"Inflow",$F$3:$F$478)-SUMIF($D$3:$D$478,"Outflow",$F$3:$F$478)+SUM(Bank_Accounts!$E$3:$E$22))</f>
      </c>
      <c r="J478" s="156"/>
      <c r="K478" s="64"/>
    </row>
    <row r="479" spans="1:11" x14ac:dyDescent="0.25">
      <c r="A479" s="65"/>
      <c r="B479" s="64"/>
      <c r="C479" s="64"/>
      <c r="D479" s="64"/>
      <c r="E479" s="64"/>
      <c r="F479" s="66"/>
      <c r="G479" s="64"/>
      <c r="H479" s="64"/>
      <c r="I479" s="157">
        <f>IF(A479="","",SUMIF($D$3:$D$479,"Inflow",$F$3:$F$479)-SUMIF($D$3:$D$479,"Outflow",$F$3:$F$479)+SUM(Bank_Accounts!$E$3:$E$22))</f>
      </c>
      <c r="J479" s="156"/>
      <c r="K479" s="64"/>
    </row>
    <row r="480" spans="1:11" x14ac:dyDescent="0.25">
      <c r="A480" s="65"/>
      <c r="B480" s="64"/>
      <c r="C480" s="64"/>
      <c r="D480" s="64"/>
      <c r="E480" s="64"/>
      <c r="F480" s="66"/>
      <c r="G480" s="64"/>
      <c r="H480" s="64"/>
      <c r="I480" s="157">
        <f>IF(A480="","",SUMIF($D$3:$D$480,"Inflow",$F$3:$F$480)-SUMIF($D$3:$D$480,"Outflow",$F$3:$F$480)+SUM(Bank_Accounts!$E$3:$E$22))</f>
      </c>
      <c r="J480" s="156"/>
      <c r="K480" s="64"/>
    </row>
    <row r="481" spans="1:11" x14ac:dyDescent="0.25">
      <c r="A481" s="65"/>
      <c r="B481" s="64"/>
      <c r="C481" s="64"/>
      <c r="D481" s="64"/>
      <c r="E481" s="64"/>
      <c r="F481" s="66"/>
      <c r="G481" s="64"/>
      <c r="H481" s="64"/>
      <c r="I481" s="157">
        <f>IF(A481="","",SUMIF($D$3:$D$481,"Inflow",$F$3:$F$481)-SUMIF($D$3:$D$481,"Outflow",$F$3:$F$481)+SUM(Bank_Accounts!$E$3:$E$22))</f>
      </c>
      <c r="J481" s="156"/>
      <c r="K481" s="64"/>
    </row>
    <row r="482" spans="1:11" x14ac:dyDescent="0.25">
      <c r="A482" s="65"/>
      <c r="B482" s="64"/>
      <c r="C482" s="64"/>
      <c r="D482" s="64"/>
      <c r="E482" s="64"/>
      <c r="F482" s="66"/>
      <c r="G482" s="64"/>
      <c r="H482" s="64"/>
      <c r="I482" s="157">
        <f>IF(A482="","",SUMIF($D$3:$D$482,"Inflow",$F$3:$F$482)-SUMIF($D$3:$D$482,"Outflow",$F$3:$F$482)+SUM(Bank_Accounts!$E$3:$E$22))</f>
      </c>
      <c r="J482" s="156"/>
      <c r="K482" s="64"/>
    </row>
    <row r="483" spans="1:11" x14ac:dyDescent="0.25">
      <c r="A483" s="65"/>
      <c r="B483" s="64"/>
      <c r="C483" s="64"/>
      <c r="D483" s="64"/>
      <c r="E483" s="64"/>
      <c r="F483" s="66"/>
      <c r="G483" s="64"/>
      <c r="H483" s="64"/>
      <c r="I483" s="157">
        <f>IF(A483="","",SUMIF($D$3:$D$483,"Inflow",$F$3:$F$483)-SUMIF($D$3:$D$483,"Outflow",$F$3:$F$483)+SUM(Bank_Accounts!$E$3:$E$22))</f>
      </c>
      <c r="J483" s="156"/>
      <c r="K483" s="64"/>
    </row>
    <row r="484" spans="1:11" x14ac:dyDescent="0.25">
      <c r="A484" s="65"/>
      <c r="B484" s="64"/>
      <c r="C484" s="64"/>
      <c r="D484" s="64"/>
      <c r="E484" s="64"/>
      <c r="F484" s="66"/>
      <c r="G484" s="64"/>
      <c r="H484" s="64"/>
      <c r="I484" s="157">
        <f>IF(A484="","",SUMIF($D$3:$D$484,"Inflow",$F$3:$F$484)-SUMIF($D$3:$D$484,"Outflow",$F$3:$F$484)+SUM(Bank_Accounts!$E$3:$E$22))</f>
      </c>
      <c r="J484" s="156"/>
      <c r="K484" s="64"/>
    </row>
    <row r="485" spans="1:11" x14ac:dyDescent="0.25">
      <c r="A485" s="65"/>
      <c r="B485" s="64"/>
      <c r="C485" s="64"/>
      <c r="D485" s="64"/>
      <c r="E485" s="64"/>
      <c r="F485" s="66"/>
      <c r="G485" s="64"/>
      <c r="H485" s="64"/>
      <c r="I485" s="157">
        <f>IF(A485="","",SUMIF($D$3:$D$485,"Inflow",$F$3:$F$485)-SUMIF($D$3:$D$485,"Outflow",$F$3:$F$485)+SUM(Bank_Accounts!$E$3:$E$22))</f>
      </c>
      <c r="J485" s="156"/>
      <c r="K485" s="64"/>
    </row>
    <row r="486" spans="1:11" x14ac:dyDescent="0.25">
      <c r="A486" s="65"/>
      <c r="B486" s="64"/>
      <c r="C486" s="64"/>
      <c r="D486" s="64"/>
      <c r="E486" s="64"/>
      <c r="F486" s="66"/>
      <c r="G486" s="64"/>
      <c r="H486" s="64"/>
      <c r="I486" s="157">
        <f>IF(A486="","",SUMIF($D$3:$D$486,"Inflow",$F$3:$F$486)-SUMIF($D$3:$D$486,"Outflow",$F$3:$F$486)+SUM(Bank_Accounts!$E$3:$E$22))</f>
      </c>
      <c r="J486" s="156"/>
      <c r="K486" s="64"/>
    </row>
    <row r="487" spans="1:11" x14ac:dyDescent="0.25">
      <c r="A487" s="65"/>
      <c r="B487" s="64"/>
      <c r="C487" s="64"/>
      <c r="D487" s="64"/>
      <c r="E487" s="64"/>
      <c r="F487" s="66"/>
      <c r="G487" s="64"/>
      <c r="H487" s="64"/>
      <c r="I487" s="157">
        <f>IF(A487="","",SUMIF($D$3:$D$487,"Inflow",$F$3:$F$487)-SUMIF($D$3:$D$487,"Outflow",$F$3:$F$487)+SUM(Bank_Accounts!$E$3:$E$22))</f>
      </c>
      <c r="J487" s="156"/>
      <c r="K487" s="64"/>
    </row>
    <row r="488" spans="1:11" x14ac:dyDescent="0.25">
      <c r="A488" s="65"/>
      <c r="B488" s="64"/>
      <c r="C488" s="64"/>
      <c r="D488" s="64"/>
      <c r="E488" s="64"/>
      <c r="F488" s="66"/>
      <c r="G488" s="64"/>
      <c r="H488" s="64"/>
      <c r="I488" s="157">
        <f>IF(A488="","",SUMIF($D$3:$D$488,"Inflow",$F$3:$F$488)-SUMIF($D$3:$D$488,"Outflow",$F$3:$F$488)+SUM(Bank_Accounts!$E$3:$E$22))</f>
      </c>
      <c r="J488" s="156"/>
      <c r="K488" s="64"/>
    </row>
    <row r="489" spans="1:11" x14ac:dyDescent="0.25">
      <c r="A489" s="65"/>
      <c r="B489" s="64"/>
      <c r="C489" s="64"/>
      <c r="D489" s="64"/>
      <c r="E489" s="64"/>
      <c r="F489" s="66"/>
      <c r="G489" s="64"/>
      <c r="H489" s="64"/>
      <c r="I489" s="157">
        <f>IF(A489="","",SUMIF($D$3:$D$489,"Inflow",$F$3:$F$489)-SUMIF($D$3:$D$489,"Outflow",$F$3:$F$489)+SUM(Bank_Accounts!$E$3:$E$22))</f>
      </c>
      <c r="J489" s="156"/>
      <c r="K489" s="64"/>
    </row>
    <row r="490" spans="1:11" x14ac:dyDescent="0.25">
      <c r="A490" s="65"/>
      <c r="B490" s="64"/>
      <c r="C490" s="64"/>
      <c r="D490" s="64"/>
      <c r="E490" s="64"/>
      <c r="F490" s="66"/>
      <c r="G490" s="64"/>
      <c r="H490" s="64"/>
      <c r="I490" s="157">
        <f>IF(A490="","",SUMIF($D$3:$D$490,"Inflow",$F$3:$F$490)-SUMIF($D$3:$D$490,"Outflow",$F$3:$F$490)+SUM(Bank_Accounts!$E$3:$E$22))</f>
      </c>
      <c r="J490" s="156"/>
      <c r="K490" s="64"/>
    </row>
    <row r="491" spans="1:11" x14ac:dyDescent="0.25">
      <c r="A491" s="65"/>
      <c r="B491" s="64"/>
      <c r="C491" s="64"/>
      <c r="D491" s="64"/>
      <c r="E491" s="64"/>
      <c r="F491" s="66"/>
      <c r="G491" s="64"/>
      <c r="H491" s="64"/>
      <c r="I491" s="157">
        <f>IF(A491="","",SUMIF($D$3:$D$491,"Inflow",$F$3:$F$491)-SUMIF($D$3:$D$491,"Outflow",$F$3:$F$491)+SUM(Bank_Accounts!$E$3:$E$22))</f>
      </c>
      <c r="J491" s="156"/>
      <c r="K491" s="64"/>
    </row>
    <row r="492" spans="1:11" x14ac:dyDescent="0.25">
      <c r="A492" s="65"/>
      <c r="B492" s="64"/>
      <c r="C492" s="64"/>
      <c r="D492" s="64"/>
      <c r="E492" s="64"/>
      <c r="F492" s="66"/>
      <c r="G492" s="64"/>
      <c r="H492" s="64"/>
      <c r="I492" s="157">
        <f>IF(A492="","",SUMIF($D$3:$D$492,"Inflow",$F$3:$F$492)-SUMIF($D$3:$D$492,"Outflow",$F$3:$F$492)+SUM(Bank_Accounts!$E$3:$E$22))</f>
      </c>
      <c r="J492" s="156"/>
      <c r="K492" s="64"/>
    </row>
    <row r="493" spans="1:11" x14ac:dyDescent="0.25">
      <c r="A493" s="65"/>
      <c r="B493" s="64"/>
      <c r="C493" s="64"/>
      <c r="D493" s="64"/>
      <c r="E493" s="64"/>
      <c r="F493" s="66"/>
      <c r="G493" s="64"/>
      <c r="H493" s="64"/>
      <c r="I493" s="157">
        <f>IF(A493="","",SUMIF($D$3:$D$493,"Inflow",$F$3:$F$493)-SUMIF($D$3:$D$493,"Outflow",$F$3:$F$493)+SUM(Bank_Accounts!$E$3:$E$22))</f>
      </c>
      <c r="J493" s="156"/>
      <c r="K493" s="64"/>
    </row>
    <row r="494" spans="1:11" x14ac:dyDescent="0.25">
      <c r="A494" s="65"/>
      <c r="B494" s="64"/>
      <c r="C494" s="64"/>
      <c r="D494" s="64"/>
      <c r="E494" s="64"/>
      <c r="F494" s="66"/>
      <c r="G494" s="64"/>
      <c r="H494" s="64"/>
      <c r="I494" s="157">
        <f>IF(A494="","",SUMIF($D$3:$D$494,"Inflow",$F$3:$F$494)-SUMIF($D$3:$D$494,"Outflow",$F$3:$F$494)+SUM(Bank_Accounts!$E$3:$E$22))</f>
      </c>
      <c r="J494" s="156"/>
      <c r="K494" s="64"/>
    </row>
    <row r="495" spans="1:11" x14ac:dyDescent="0.25">
      <c r="A495" s="65"/>
      <c r="B495" s="64"/>
      <c r="C495" s="64"/>
      <c r="D495" s="64"/>
      <c r="E495" s="64"/>
      <c r="F495" s="66"/>
      <c r="G495" s="64"/>
      <c r="H495" s="64"/>
      <c r="I495" s="157">
        <f>IF(A495="","",SUMIF($D$3:$D$495,"Inflow",$F$3:$F$495)-SUMIF($D$3:$D$495,"Outflow",$F$3:$F$495)+SUM(Bank_Accounts!$E$3:$E$22))</f>
      </c>
      <c r="J495" s="156"/>
      <c r="K495" s="64"/>
    </row>
    <row r="496" spans="1:11" x14ac:dyDescent="0.25">
      <c r="A496" s="65"/>
      <c r="B496" s="64"/>
      <c r="C496" s="64"/>
      <c r="D496" s="64"/>
      <c r="E496" s="64"/>
      <c r="F496" s="66"/>
      <c r="G496" s="64"/>
      <c r="H496" s="64"/>
      <c r="I496" s="157">
        <f>IF(A496="","",SUMIF($D$3:$D$496,"Inflow",$F$3:$F$496)-SUMIF($D$3:$D$496,"Outflow",$F$3:$F$496)+SUM(Bank_Accounts!$E$3:$E$22))</f>
      </c>
      <c r="J496" s="156"/>
      <c r="K496" s="64"/>
    </row>
    <row r="497" spans="1:11" x14ac:dyDescent="0.25">
      <c r="A497" s="65"/>
      <c r="B497" s="64"/>
      <c r="C497" s="64"/>
      <c r="D497" s="64"/>
      <c r="E497" s="64"/>
      <c r="F497" s="66"/>
      <c r="G497" s="64"/>
      <c r="H497" s="64"/>
      <c r="I497" s="157">
        <f>IF(A497="","",SUMIF($D$3:$D$497,"Inflow",$F$3:$F$497)-SUMIF($D$3:$D$497,"Outflow",$F$3:$F$497)+SUM(Bank_Accounts!$E$3:$E$22))</f>
      </c>
      <c r="J497" s="156"/>
      <c r="K497" s="64"/>
    </row>
    <row r="498" spans="1:11" x14ac:dyDescent="0.25">
      <c r="A498" s="65"/>
      <c r="B498" s="64"/>
      <c r="C498" s="64"/>
      <c r="D498" s="64"/>
      <c r="E498" s="64"/>
      <c r="F498" s="66"/>
      <c r="G498" s="64"/>
      <c r="H498" s="64"/>
      <c r="I498" s="157">
        <f>IF(A498="","",SUMIF($D$3:$D$498,"Inflow",$F$3:$F$498)-SUMIF($D$3:$D$498,"Outflow",$F$3:$F$498)+SUM(Bank_Accounts!$E$3:$E$22))</f>
      </c>
      <c r="J498" s="156"/>
      <c r="K498" s="64"/>
    </row>
    <row r="499" spans="1:11" x14ac:dyDescent="0.25">
      <c r="A499" s="65"/>
      <c r="B499" s="64"/>
      <c r="C499" s="64"/>
      <c r="D499" s="64"/>
      <c r="E499" s="64"/>
      <c r="F499" s="66"/>
      <c r="G499" s="64"/>
      <c r="H499" s="64"/>
      <c r="I499" s="157">
        <f>IF(A499="","",SUMIF($D$3:$D$499,"Inflow",$F$3:$F$499)-SUMIF($D$3:$D$499,"Outflow",$F$3:$F$499)+SUM(Bank_Accounts!$E$3:$E$22))</f>
      </c>
      <c r="J499" s="156"/>
      <c r="K499" s="64"/>
    </row>
    <row r="500" spans="1:11" x14ac:dyDescent="0.25">
      <c r="A500" s="65"/>
      <c r="B500" s="64"/>
      <c r="C500" s="64"/>
      <c r="D500" s="64"/>
      <c r="E500" s="64"/>
      <c r="F500" s="66"/>
      <c r="G500" s="64"/>
      <c r="H500" s="64"/>
      <c r="I500" s="157">
        <f>IF(A500="","",SUMIF($D$3:$D$500,"Inflow",$F$3:$F$500)-SUMIF($D$3:$D$500,"Outflow",$F$3:$F$500)+SUM(Bank_Accounts!$E$3:$E$22))</f>
      </c>
      <c r="J500" s="156"/>
      <c r="K500" s="64"/>
    </row>
    <row r="501" spans="1:11" x14ac:dyDescent="0.25">
      <c r="A501" s="65"/>
      <c r="B501" s="64"/>
      <c r="C501" s="64"/>
      <c r="D501" s="64"/>
      <c r="E501" s="64"/>
      <c r="F501" s="66"/>
      <c r="G501" s="64"/>
      <c r="H501" s="64"/>
      <c r="I501" s="157">
        <f>IF(A501="","",SUMIF($D$3:$D$501,"Inflow",$F$3:$F$501)-SUMIF($D$3:$D$501,"Outflow",$F$3:$F$501)+SUM(Bank_Accounts!$E$3:$E$22))</f>
      </c>
      <c r="J501" s="156"/>
      <c r="K501" s="64"/>
    </row>
    <row r="502" spans="1:11" x14ac:dyDescent="0.25">
      <c r="A502" s="65"/>
      <c r="B502" s="64"/>
      <c r="C502" s="64"/>
      <c r="D502" s="64"/>
      <c r="E502" s="64"/>
      <c r="F502" s="66"/>
      <c r="G502" s="64"/>
      <c r="H502" s="64"/>
      <c r="I502" s="157">
        <f>IF(A502="","",SUMIF($D$3:$D$502,"Inflow",$F$3:$F$502)-SUMIF($D$3:$D$502,"Outflow",$F$3:$F$502)+SUM(Bank_Accounts!$E$3:$E$22))</f>
      </c>
      <c r="J502" s="156"/>
      <c r="K502" s="64"/>
    </row>
    <row r="503" spans="1:11" x14ac:dyDescent="0.25">
      <c r="A503" s="65"/>
      <c r="B503" s="64"/>
      <c r="C503" s="64"/>
      <c r="D503" s="64"/>
      <c r="E503" s="64"/>
      <c r="F503" s="66"/>
      <c r="G503" s="64"/>
      <c r="H503" s="64"/>
      <c r="I503" s="157">
        <f>IF(A503="","",SUMIF($D$3:$D$503,"Inflow",$F$3:$F$503)-SUMIF($D$3:$D$503,"Outflow",$F$3:$F$503)+SUM(Bank_Accounts!$E$3:$E$22))</f>
      </c>
      <c r="J503" s="156"/>
      <c r="K503" s="64"/>
    </row>
    <row r="504" spans="1:11" x14ac:dyDescent="0.25">
      <c r="A504" s="65"/>
      <c r="B504" s="64"/>
      <c r="C504" s="64"/>
      <c r="D504" s="64"/>
      <c r="E504" s="64"/>
      <c r="F504" s="66"/>
      <c r="G504" s="64"/>
      <c r="H504" s="64"/>
      <c r="I504" s="157">
        <f>IF(A504="","",SUMIF($D$3:$D$504,"Inflow",$F$3:$F$504)-SUMIF($D$3:$D$504,"Outflow",$F$3:$F$504)+SUM(Bank_Accounts!$E$3:$E$22))</f>
      </c>
      <c r="J504" s="156"/>
      <c r="K504" s="64"/>
    </row>
    <row r="505" spans="1:11" x14ac:dyDescent="0.25">
      <c r="A505" s="65"/>
      <c r="B505" s="64"/>
      <c r="C505" s="64"/>
      <c r="D505" s="64"/>
      <c r="E505" s="64"/>
      <c r="F505" s="66"/>
      <c r="G505" s="64"/>
      <c r="H505" s="64"/>
      <c r="I505" s="157">
        <f>IF(A505="","",SUMIF($D$3:$D$505,"Inflow",$F$3:$F$505)-SUMIF($D$3:$D$505,"Outflow",$F$3:$F$505)+SUM(Bank_Accounts!$E$3:$E$22))</f>
      </c>
      <c r="J505" s="156"/>
      <c r="K505" s="64"/>
    </row>
    <row r="506" spans="1:11" x14ac:dyDescent="0.25">
      <c r="A506" s="65"/>
      <c r="B506" s="64"/>
      <c r="C506" s="64"/>
      <c r="D506" s="64"/>
      <c r="E506" s="64"/>
      <c r="F506" s="66"/>
      <c r="G506" s="64"/>
      <c r="H506" s="64"/>
      <c r="I506" s="157">
        <f>IF(A506="","",SUMIF($D$3:$D$506,"Inflow",$F$3:$F$506)-SUMIF($D$3:$D$506,"Outflow",$F$3:$F$506)+SUM(Bank_Accounts!$E$3:$E$22))</f>
      </c>
      <c r="J506" s="156"/>
      <c r="K506" s="64"/>
    </row>
    <row r="507" spans="1:11" x14ac:dyDescent="0.25">
      <c r="A507" s="65"/>
      <c r="B507" s="64"/>
      <c r="C507" s="64"/>
      <c r="D507" s="64"/>
      <c r="E507" s="64"/>
      <c r="F507" s="66"/>
      <c r="G507" s="64"/>
      <c r="H507" s="64"/>
      <c r="I507" s="157">
        <f>IF(A507="","",SUMIF($D$3:$D$507,"Inflow",$F$3:$F$507)-SUMIF($D$3:$D$507,"Outflow",$F$3:$F$507)+SUM(Bank_Accounts!$E$3:$E$22))</f>
      </c>
      <c r="J507" s="156"/>
      <c r="K507" s="64"/>
    </row>
    <row r="508" spans="1:11" x14ac:dyDescent="0.25">
      <c r="A508" s="65"/>
      <c r="B508" s="64"/>
      <c r="C508" s="64"/>
      <c r="D508" s="64"/>
      <c r="E508" s="64"/>
      <c r="F508" s="66"/>
      <c r="G508" s="64"/>
      <c r="H508" s="64"/>
      <c r="I508" s="157">
        <f>IF(A508="","",SUMIF($D$3:$D$508,"Inflow",$F$3:$F$508)-SUMIF($D$3:$D$508,"Outflow",$F$3:$F$508)+SUM(Bank_Accounts!$E$3:$E$22))</f>
      </c>
      <c r="J508" s="156"/>
      <c r="K508" s="64"/>
    </row>
    <row r="509" spans="1:11" x14ac:dyDescent="0.25">
      <c r="A509" s="65"/>
      <c r="B509" s="64"/>
      <c r="C509" s="64"/>
      <c r="D509" s="64"/>
      <c r="E509" s="64"/>
      <c r="F509" s="66"/>
      <c r="G509" s="64"/>
      <c r="H509" s="64"/>
      <c r="I509" s="157">
        <f>IF(A509="","",SUMIF($D$3:$D$509,"Inflow",$F$3:$F$509)-SUMIF($D$3:$D$509,"Outflow",$F$3:$F$509)+SUM(Bank_Accounts!$E$3:$E$22))</f>
      </c>
      <c r="J509" s="156"/>
      <c r="K509" s="64"/>
    </row>
    <row r="510" spans="1:11" x14ac:dyDescent="0.25">
      <c r="A510" s="65"/>
      <c r="B510" s="64"/>
      <c r="C510" s="64"/>
      <c r="D510" s="64"/>
      <c r="E510" s="64"/>
      <c r="F510" s="66"/>
      <c r="G510" s="64"/>
      <c r="H510" s="64"/>
      <c r="I510" s="157">
        <f>IF(A510="","",SUMIF($D$3:$D$510,"Inflow",$F$3:$F$510)-SUMIF($D$3:$D$510,"Outflow",$F$3:$F$510)+SUM(Bank_Accounts!$E$3:$E$22))</f>
      </c>
      <c r="J510" s="156"/>
      <c r="K510" s="64"/>
    </row>
    <row r="511" spans="1:11" x14ac:dyDescent="0.25">
      <c r="A511" s="65"/>
      <c r="B511" s="64"/>
      <c r="C511" s="64"/>
      <c r="D511" s="64"/>
      <c r="E511" s="64"/>
      <c r="F511" s="66"/>
      <c r="G511" s="64"/>
      <c r="H511" s="64"/>
      <c r="I511" s="157">
        <f>IF(A511="","",SUMIF($D$3:$D$511,"Inflow",$F$3:$F$511)-SUMIF($D$3:$D$511,"Outflow",$F$3:$F$511)+SUM(Bank_Accounts!$E$3:$E$22))</f>
      </c>
      <c r="J511" s="156"/>
      <c r="K511" s="64"/>
    </row>
    <row r="512" spans="1:11" x14ac:dyDescent="0.25">
      <c r="A512" s="65"/>
      <c r="B512" s="64"/>
      <c r="C512" s="64"/>
      <c r="D512" s="64"/>
      <c r="E512" s="64"/>
      <c r="F512" s="66"/>
      <c r="G512" s="64"/>
      <c r="H512" s="64"/>
      <c r="I512" s="157">
        <f>IF(A512="","",SUMIF($D$3:$D$512,"Inflow",$F$3:$F$512)-SUMIF($D$3:$D$512,"Outflow",$F$3:$F$512)+SUM(Bank_Accounts!$E$3:$E$22))</f>
      </c>
      <c r="J512" s="156"/>
      <c r="K512" s="64"/>
    </row>
    <row r="513" spans="1:11" x14ac:dyDescent="0.25">
      <c r="A513" s="65"/>
      <c r="B513" s="64"/>
      <c r="C513" s="64"/>
      <c r="D513" s="64"/>
      <c r="E513" s="64"/>
      <c r="F513" s="66"/>
      <c r="G513" s="64"/>
      <c r="H513" s="64"/>
      <c r="I513" s="157">
        <f>IF(A513="","",SUMIF($D$3:$D$513,"Inflow",$F$3:$F$513)-SUMIF($D$3:$D$513,"Outflow",$F$3:$F$513)+SUM(Bank_Accounts!$E$3:$E$22))</f>
      </c>
      <c r="J513" s="156"/>
      <c r="K513" s="64"/>
    </row>
    <row r="514" spans="1:11" x14ac:dyDescent="0.25">
      <c r="A514" s="65"/>
      <c r="B514" s="64"/>
      <c r="C514" s="64"/>
      <c r="D514" s="64"/>
      <c r="E514" s="64"/>
      <c r="F514" s="66"/>
      <c r="G514" s="64"/>
      <c r="H514" s="64"/>
      <c r="I514" s="157">
        <f>IF(A514="","",SUMIF($D$3:$D$514,"Inflow",$F$3:$F$514)-SUMIF($D$3:$D$514,"Outflow",$F$3:$F$514)+SUM(Bank_Accounts!$E$3:$E$22))</f>
      </c>
      <c r="J514" s="156"/>
      <c r="K514" s="64"/>
    </row>
    <row r="515" spans="1:11" x14ac:dyDescent="0.25">
      <c r="A515" s="65"/>
      <c r="B515" s="64"/>
      <c r="C515" s="64"/>
      <c r="D515" s="64"/>
      <c r="E515" s="64"/>
      <c r="F515" s="66"/>
      <c r="G515" s="64"/>
      <c r="H515" s="64"/>
      <c r="I515" s="157">
        <f>IF(A515="","",SUMIF($D$3:$D$515,"Inflow",$F$3:$F$515)-SUMIF($D$3:$D$515,"Outflow",$F$3:$F$515)+SUM(Bank_Accounts!$E$3:$E$22))</f>
      </c>
      <c r="J515" s="156"/>
      <c r="K515" s="64"/>
    </row>
    <row r="516" spans="1:11" x14ac:dyDescent="0.25">
      <c r="A516" s="65"/>
      <c r="B516" s="64"/>
      <c r="C516" s="64"/>
      <c r="D516" s="64"/>
      <c r="E516" s="64"/>
      <c r="F516" s="66"/>
      <c r="G516" s="64"/>
      <c r="H516" s="64"/>
      <c r="I516" s="157">
        <f>IF(A516="","",SUMIF($D$3:$D$516,"Inflow",$F$3:$F$516)-SUMIF($D$3:$D$516,"Outflow",$F$3:$F$516)+SUM(Bank_Accounts!$E$3:$E$22))</f>
      </c>
      <c r="J516" s="156"/>
      <c r="K516" s="64"/>
    </row>
    <row r="517" spans="1:11" x14ac:dyDescent="0.25">
      <c r="A517" s="65"/>
      <c r="B517" s="64"/>
      <c r="C517" s="64"/>
      <c r="D517" s="64"/>
      <c r="E517" s="64"/>
      <c r="F517" s="66"/>
      <c r="G517" s="64"/>
      <c r="H517" s="64"/>
      <c r="I517" s="157">
        <f>IF(A517="","",SUMIF($D$3:$D$517,"Inflow",$F$3:$F$517)-SUMIF($D$3:$D$517,"Outflow",$F$3:$F$517)+SUM(Bank_Accounts!$E$3:$E$22))</f>
      </c>
      <c r="J517" s="156"/>
      <c r="K517" s="64"/>
    </row>
    <row r="518" spans="1:11" x14ac:dyDescent="0.25">
      <c r="A518" s="65"/>
      <c r="B518" s="64"/>
      <c r="C518" s="64"/>
      <c r="D518" s="64"/>
      <c r="E518" s="64"/>
      <c r="F518" s="66"/>
      <c r="G518" s="64"/>
      <c r="H518" s="64"/>
      <c r="I518" s="157">
        <f>IF(A518="","",SUMIF($D$3:$D$518,"Inflow",$F$3:$F$518)-SUMIF($D$3:$D$518,"Outflow",$F$3:$F$518)+SUM(Bank_Accounts!$E$3:$E$22))</f>
      </c>
      <c r="J518" s="156"/>
      <c r="K518" s="64"/>
    </row>
    <row r="519" spans="1:11" x14ac:dyDescent="0.25">
      <c r="A519" s="65"/>
      <c r="B519" s="64"/>
      <c r="C519" s="64"/>
      <c r="D519" s="64"/>
      <c r="E519" s="64"/>
      <c r="F519" s="66"/>
      <c r="G519" s="64"/>
      <c r="H519" s="64"/>
      <c r="I519" s="157">
        <f>IF(A519="","",SUMIF($D$3:$D$519,"Inflow",$F$3:$F$519)-SUMIF($D$3:$D$519,"Outflow",$F$3:$F$519)+SUM(Bank_Accounts!$E$3:$E$22))</f>
      </c>
      <c r="J519" s="156"/>
      <c r="K519" s="64"/>
    </row>
    <row r="520" spans="1:11" x14ac:dyDescent="0.25">
      <c r="A520" s="65"/>
      <c r="B520" s="64"/>
      <c r="C520" s="64"/>
      <c r="D520" s="64"/>
      <c r="E520" s="64"/>
      <c r="F520" s="66"/>
      <c r="G520" s="64"/>
      <c r="H520" s="64"/>
      <c r="I520" s="157">
        <f>IF(A520="","",SUMIF($D$3:$D$520,"Inflow",$F$3:$F$520)-SUMIF($D$3:$D$520,"Outflow",$F$3:$F$520)+SUM(Bank_Accounts!$E$3:$E$22))</f>
      </c>
      <c r="J520" s="156"/>
      <c r="K520" s="64"/>
    </row>
    <row r="521" spans="1:11" x14ac:dyDescent="0.25">
      <c r="A521" s="65"/>
      <c r="B521" s="64"/>
      <c r="C521" s="64"/>
      <c r="D521" s="64"/>
      <c r="E521" s="64"/>
      <c r="F521" s="66"/>
      <c r="G521" s="64"/>
      <c r="H521" s="64"/>
      <c r="I521" s="157">
        <f>IF(A521="","",SUMIF($D$3:$D$521,"Inflow",$F$3:$F$521)-SUMIF($D$3:$D$521,"Outflow",$F$3:$F$521)+SUM(Bank_Accounts!$E$3:$E$22))</f>
      </c>
      <c r="J521" s="156"/>
      <c r="K521" s="64"/>
    </row>
    <row r="522" spans="1:11" x14ac:dyDescent="0.25">
      <c r="A522" s="65"/>
      <c r="B522" s="64"/>
      <c r="C522" s="64"/>
      <c r="D522" s="64"/>
      <c r="E522" s="64"/>
      <c r="F522" s="66"/>
      <c r="G522" s="64"/>
      <c r="H522" s="64"/>
      <c r="I522" s="157">
        <f>IF(A522="","",SUMIF($D$3:$D$522,"Inflow",$F$3:$F$522)-SUMIF($D$3:$D$522,"Outflow",$F$3:$F$522)+SUM(Bank_Accounts!$E$3:$E$22))</f>
      </c>
      <c r="J522" s="156"/>
      <c r="K522" s="64"/>
    </row>
    <row r="523" spans="1:11" x14ac:dyDescent="0.25">
      <c r="A523" s="65"/>
      <c r="B523" s="64"/>
      <c r="C523" s="64"/>
      <c r="D523" s="64"/>
      <c r="E523" s="64"/>
      <c r="F523" s="66"/>
      <c r="G523" s="64"/>
      <c r="H523" s="64"/>
      <c r="I523" s="157">
        <f>IF(A523="","",SUMIF($D$3:$D$523,"Inflow",$F$3:$F$523)-SUMIF($D$3:$D$523,"Outflow",$F$3:$F$523)+SUM(Bank_Accounts!$E$3:$E$22))</f>
      </c>
      <c r="J523" s="156"/>
      <c r="K523" s="64"/>
    </row>
    <row r="524" spans="1:11" x14ac:dyDescent="0.25">
      <c r="A524" s="65"/>
      <c r="B524" s="64"/>
      <c r="C524" s="64"/>
      <c r="D524" s="64"/>
      <c r="E524" s="64"/>
      <c r="F524" s="66"/>
      <c r="G524" s="64"/>
      <c r="H524" s="64"/>
      <c r="I524" s="157">
        <f>IF(A524="","",SUMIF($D$3:$D$524,"Inflow",$F$3:$F$524)-SUMIF($D$3:$D$524,"Outflow",$F$3:$F$524)+SUM(Bank_Accounts!$E$3:$E$22))</f>
      </c>
      <c r="J524" s="156"/>
      <c r="K524" s="64"/>
    </row>
    <row r="525" spans="1:11" x14ac:dyDescent="0.25">
      <c r="A525" s="65"/>
      <c r="B525" s="64"/>
      <c r="C525" s="64"/>
      <c r="D525" s="64"/>
      <c r="E525" s="64"/>
      <c r="F525" s="66"/>
      <c r="G525" s="64"/>
      <c r="H525" s="64"/>
      <c r="I525" s="157">
        <f>IF(A525="","",SUMIF($D$3:$D$525,"Inflow",$F$3:$F$525)-SUMIF($D$3:$D$525,"Outflow",$F$3:$F$525)+SUM(Bank_Accounts!$E$3:$E$22))</f>
      </c>
      <c r="J525" s="156"/>
      <c r="K525" s="64"/>
    </row>
    <row r="526" spans="1:11" x14ac:dyDescent="0.25">
      <c r="A526" s="65"/>
      <c r="B526" s="64"/>
      <c r="C526" s="64"/>
      <c r="D526" s="64"/>
      <c r="E526" s="64"/>
      <c r="F526" s="66"/>
      <c r="G526" s="64"/>
      <c r="H526" s="64"/>
      <c r="I526" s="157">
        <f>IF(A526="","",SUMIF($D$3:$D$526,"Inflow",$F$3:$F$526)-SUMIF($D$3:$D$526,"Outflow",$F$3:$F$526)+SUM(Bank_Accounts!$E$3:$E$22))</f>
      </c>
      <c r="J526" s="156"/>
      <c r="K526" s="64"/>
    </row>
    <row r="527" spans="1:11" x14ac:dyDescent="0.25">
      <c r="A527" s="65"/>
      <c r="B527" s="64"/>
      <c r="C527" s="64"/>
      <c r="D527" s="64"/>
      <c r="E527" s="64"/>
      <c r="F527" s="66"/>
      <c r="G527" s="64"/>
      <c r="H527" s="64"/>
      <c r="I527" s="157">
        <f>IF(A527="","",SUMIF($D$3:$D$527,"Inflow",$F$3:$F$527)-SUMIF($D$3:$D$527,"Outflow",$F$3:$F$527)+SUM(Bank_Accounts!$E$3:$E$22))</f>
      </c>
      <c r="J527" s="156"/>
      <c r="K527" s="64"/>
    </row>
    <row r="528" spans="1:11" x14ac:dyDescent="0.25">
      <c r="A528" s="65"/>
      <c r="B528" s="64"/>
      <c r="C528" s="64"/>
      <c r="D528" s="64"/>
      <c r="E528" s="64"/>
      <c r="F528" s="66"/>
      <c r="G528" s="64"/>
      <c r="H528" s="64"/>
      <c r="I528" s="157">
        <f>IF(A528="","",SUMIF($D$3:$D$528,"Inflow",$F$3:$F$528)-SUMIF($D$3:$D$528,"Outflow",$F$3:$F$528)+SUM(Bank_Accounts!$E$3:$E$22))</f>
      </c>
      <c r="J528" s="156"/>
      <c r="K528" s="64"/>
    </row>
    <row r="529" spans="1:11" x14ac:dyDescent="0.25">
      <c r="A529" s="65"/>
      <c r="B529" s="64"/>
      <c r="C529" s="64"/>
      <c r="D529" s="64"/>
      <c r="E529" s="64"/>
      <c r="F529" s="66"/>
      <c r="G529" s="64"/>
      <c r="H529" s="64"/>
      <c r="I529" s="157">
        <f>IF(A529="","",SUMIF($D$3:$D$529,"Inflow",$F$3:$F$529)-SUMIF($D$3:$D$529,"Outflow",$F$3:$F$529)+SUM(Bank_Accounts!$E$3:$E$22))</f>
      </c>
      <c r="J529" s="156"/>
      <c r="K529" s="64"/>
    </row>
    <row r="530" spans="1:11" x14ac:dyDescent="0.25">
      <c r="A530" s="65"/>
      <c r="B530" s="64"/>
      <c r="C530" s="64"/>
      <c r="D530" s="64"/>
      <c r="E530" s="64"/>
      <c r="F530" s="66"/>
      <c r="G530" s="64"/>
      <c r="H530" s="64"/>
      <c r="I530" s="157">
        <f>IF(A530="","",SUMIF($D$3:$D$530,"Inflow",$F$3:$F$530)-SUMIF($D$3:$D$530,"Outflow",$F$3:$F$530)+SUM(Bank_Accounts!$E$3:$E$22))</f>
      </c>
      <c r="J530" s="156"/>
      <c r="K530" s="64"/>
    </row>
    <row r="531" spans="1:11" x14ac:dyDescent="0.25">
      <c r="A531" s="65"/>
      <c r="B531" s="64"/>
      <c r="C531" s="64"/>
      <c r="D531" s="64"/>
      <c r="E531" s="64"/>
      <c r="F531" s="66"/>
      <c r="G531" s="64"/>
      <c r="H531" s="64"/>
      <c r="I531" s="157">
        <f>IF(A531="","",SUMIF($D$3:$D$531,"Inflow",$F$3:$F$531)-SUMIF($D$3:$D$531,"Outflow",$F$3:$F$531)+SUM(Bank_Accounts!$E$3:$E$22))</f>
      </c>
      <c r="J531" s="156"/>
      <c r="K531" s="64"/>
    </row>
    <row r="532" spans="1:11" x14ac:dyDescent="0.25">
      <c r="A532" s="65"/>
      <c r="B532" s="64"/>
      <c r="C532" s="64"/>
      <c r="D532" s="64"/>
      <c r="E532" s="64"/>
      <c r="F532" s="66"/>
      <c r="G532" s="64"/>
      <c r="H532" s="64"/>
      <c r="I532" s="157">
        <f>IF(A532="","",SUMIF($D$3:$D$532,"Inflow",$F$3:$F$532)-SUMIF($D$3:$D$532,"Outflow",$F$3:$F$532)+SUM(Bank_Accounts!$E$3:$E$22))</f>
      </c>
      <c r="J532" s="156"/>
      <c r="K532" s="64"/>
    </row>
    <row r="533" spans="1:11" x14ac:dyDescent="0.25">
      <c r="A533" s="65"/>
      <c r="B533" s="64"/>
      <c r="C533" s="64"/>
      <c r="D533" s="64"/>
      <c r="E533" s="64"/>
      <c r="F533" s="66"/>
      <c r="G533" s="64"/>
      <c r="H533" s="64"/>
      <c r="I533" s="157">
        <f>IF(A533="","",SUMIF($D$3:$D$533,"Inflow",$F$3:$F$533)-SUMIF($D$3:$D$533,"Outflow",$F$3:$F$533)+SUM(Bank_Accounts!$E$3:$E$22))</f>
      </c>
      <c r="J533" s="156"/>
      <c r="K533" s="64"/>
    </row>
    <row r="534" spans="1:11" x14ac:dyDescent="0.25">
      <c r="A534" s="65"/>
      <c r="B534" s="64"/>
      <c r="C534" s="64"/>
      <c r="D534" s="64"/>
      <c r="E534" s="64"/>
      <c r="F534" s="66"/>
      <c r="G534" s="64"/>
      <c r="H534" s="64"/>
      <c r="I534" s="157">
        <f>IF(A534="","",SUMIF($D$3:$D$534,"Inflow",$F$3:$F$534)-SUMIF($D$3:$D$534,"Outflow",$F$3:$F$534)+SUM(Bank_Accounts!$E$3:$E$22))</f>
      </c>
      <c r="J534" s="156"/>
      <c r="K534" s="64"/>
    </row>
    <row r="535" spans="1:11" x14ac:dyDescent="0.25">
      <c r="A535" s="65"/>
      <c r="B535" s="64"/>
      <c r="C535" s="64"/>
      <c r="D535" s="64"/>
      <c r="E535" s="64"/>
      <c r="F535" s="66"/>
      <c r="G535" s="64"/>
      <c r="H535" s="64"/>
      <c r="I535" s="157">
        <f>IF(A535="","",SUMIF($D$3:$D$535,"Inflow",$F$3:$F$535)-SUMIF($D$3:$D$535,"Outflow",$F$3:$F$535)+SUM(Bank_Accounts!$E$3:$E$22))</f>
      </c>
      <c r="J535" s="156"/>
      <c r="K535" s="64"/>
    </row>
    <row r="536" spans="1:11" x14ac:dyDescent="0.25">
      <c r="A536" s="65"/>
      <c r="B536" s="64"/>
      <c r="C536" s="64"/>
      <c r="D536" s="64"/>
      <c r="E536" s="64"/>
      <c r="F536" s="66"/>
      <c r="G536" s="64"/>
      <c r="H536" s="64"/>
      <c r="I536" s="157">
        <f>IF(A536="","",SUMIF($D$3:$D$536,"Inflow",$F$3:$F$536)-SUMIF($D$3:$D$536,"Outflow",$F$3:$F$536)+SUM(Bank_Accounts!$E$3:$E$22))</f>
      </c>
      <c r="J536" s="156"/>
      <c r="K536" s="64"/>
    </row>
    <row r="537" spans="1:11" x14ac:dyDescent="0.25">
      <c r="A537" s="65"/>
      <c r="B537" s="64"/>
      <c r="C537" s="64"/>
      <c r="D537" s="64"/>
      <c r="E537" s="64"/>
      <c r="F537" s="66"/>
      <c r="G537" s="64"/>
      <c r="H537" s="64"/>
      <c r="I537" s="157">
        <f>IF(A537="","",SUMIF($D$3:$D$537,"Inflow",$F$3:$F$537)-SUMIF($D$3:$D$537,"Outflow",$F$3:$F$537)+SUM(Bank_Accounts!$E$3:$E$22))</f>
      </c>
      <c r="J537" s="156"/>
      <c r="K537" s="64"/>
    </row>
    <row r="538" spans="1:11" x14ac:dyDescent="0.25">
      <c r="A538" s="65"/>
      <c r="B538" s="64"/>
      <c r="C538" s="64"/>
      <c r="D538" s="64"/>
      <c r="E538" s="64"/>
      <c r="F538" s="66"/>
      <c r="G538" s="64"/>
      <c r="H538" s="64"/>
      <c r="I538" s="157">
        <f>IF(A538="","",SUMIF($D$3:$D$538,"Inflow",$F$3:$F$538)-SUMIF($D$3:$D$538,"Outflow",$F$3:$F$538)+SUM(Bank_Accounts!$E$3:$E$22))</f>
      </c>
      <c r="J538" s="156"/>
      <c r="K538" s="64"/>
    </row>
    <row r="539" spans="1:11" x14ac:dyDescent="0.25">
      <c r="A539" s="65"/>
      <c r="B539" s="64"/>
      <c r="C539" s="64"/>
      <c r="D539" s="64"/>
      <c r="E539" s="64"/>
      <c r="F539" s="66"/>
      <c r="G539" s="64"/>
      <c r="H539" s="64"/>
      <c r="I539" s="157">
        <f>IF(A539="","",SUMIF($D$3:$D$539,"Inflow",$F$3:$F$539)-SUMIF($D$3:$D$539,"Outflow",$F$3:$F$539)+SUM(Bank_Accounts!$E$3:$E$22))</f>
      </c>
      <c r="J539" s="156"/>
      <c r="K539" s="64"/>
    </row>
    <row r="540" spans="1:11" x14ac:dyDescent="0.25">
      <c r="A540" s="65"/>
      <c r="B540" s="64"/>
      <c r="C540" s="64"/>
      <c r="D540" s="64"/>
      <c r="E540" s="64"/>
      <c r="F540" s="66"/>
      <c r="G540" s="64"/>
      <c r="H540" s="64"/>
      <c r="I540" s="157">
        <f>IF(A540="","",SUMIF($D$3:$D$540,"Inflow",$F$3:$F$540)-SUMIF($D$3:$D$540,"Outflow",$F$3:$F$540)+SUM(Bank_Accounts!$E$3:$E$22))</f>
      </c>
      <c r="J540" s="156"/>
      <c r="K540" s="64"/>
    </row>
    <row r="541" spans="1:11" x14ac:dyDescent="0.25">
      <c r="A541" s="65"/>
      <c r="B541" s="64"/>
      <c r="C541" s="64"/>
      <c r="D541" s="64"/>
      <c r="E541" s="64"/>
      <c r="F541" s="66"/>
      <c r="G541" s="64"/>
      <c r="H541" s="64"/>
      <c r="I541" s="157">
        <f>IF(A541="","",SUMIF($D$3:$D$541,"Inflow",$F$3:$F$541)-SUMIF($D$3:$D$541,"Outflow",$F$3:$F$541)+SUM(Bank_Accounts!$E$3:$E$22))</f>
      </c>
      <c r="J541" s="156"/>
      <c r="K541" s="64"/>
    </row>
    <row r="542" spans="1:11" x14ac:dyDescent="0.25">
      <c r="A542" s="65"/>
      <c r="B542" s="64"/>
      <c r="C542" s="64"/>
      <c r="D542" s="64"/>
      <c r="E542" s="64"/>
      <c r="F542" s="66"/>
      <c r="G542" s="64"/>
      <c r="H542" s="64"/>
      <c r="I542" s="157">
        <f>IF(A542="","",SUMIF($D$3:$D$542,"Inflow",$F$3:$F$542)-SUMIF($D$3:$D$542,"Outflow",$F$3:$F$542)+SUM(Bank_Accounts!$E$3:$E$22))</f>
      </c>
      <c r="J542" s="156"/>
      <c r="K542" s="64"/>
    </row>
    <row r="543" spans="1:11" x14ac:dyDescent="0.25">
      <c r="A543" s="65"/>
      <c r="B543" s="64"/>
      <c r="C543" s="64"/>
      <c r="D543" s="64"/>
      <c r="E543" s="64"/>
      <c r="F543" s="66"/>
      <c r="G543" s="64"/>
      <c r="H543" s="64"/>
      <c r="I543" s="157">
        <f>IF(A543="","",SUMIF($D$3:$D$543,"Inflow",$F$3:$F$543)-SUMIF($D$3:$D$543,"Outflow",$F$3:$F$543)+SUM(Bank_Accounts!$E$3:$E$22))</f>
      </c>
      <c r="J543" s="156"/>
      <c r="K543" s="64"/>
    </row>
    <row r="544" spans="1:11" x14ac:dyDescent="0.25">
      <c r="A544" s="65"/>
      <c r="B544" s="64"/>
      <c r="C544" s="64"/>
      <c r="D544" s="64"/>
      <c r="E544" s="64"/>
      <c r="F544" s="66"/>
      <c r="G544" s="64"/>
      <c r="H544" s="64"/>
      <c r="I544" s="157">
        <f>IF(A544="","",SUMIF($D$3:$D$544,"Inflow",$F$3:$F$544)-SUMIF($D$3:$D$544,"Outflow",$F$3:$F$544)+SUM(Bank_Accounts!$E$3:$E$22))</f>
      </c>
      <c r="J544" s="156"/>
      <c r="K544" s="64"/>
    </row>
    <row r="545" spans="1:11" x14ac:dyDescent="0.25">
      <c r="A545" s="65"/>
      <c r="B545" s="64"/>
      <c r="C545" s="64"/>
      <c r="D545" s="64"/>
      <c r="E545" s="64"/>
      <c r="F545" s="66"/>
      <c r="G545" s="64"/>
      <c r="H545" s="64"/>
      <c r="I545" s="157">
        <f>IF(A545="","",SUMIF($D$3:$D$545,"Inflow",$F$3:$F$545)-SUMIF($D$3:$D$545,"Outflow",$F$3:$F$545)+SUM(Bank_Accounts!$E$3:$E$22))</f>
      </c>
      <c r="J545" s="156"/>
      <c r="K545" s="64"/>
    </row>
    <row r="546" spans="1:11" x14ac:dyDescent="0.25">
      <c r="A546" s="65"/>
      <c r="B546" s="64"/>
      <c r="C546" s="64"/>
      <c r="D546" s="64"/>
      <c r="E546" s="64"/>
      <c r="F546" s="66"/>
      <c r="G546" s="64"/>
      <c r="H546" s="64"/>
      <c r="I546" s="157">
        <f>IF(A546="","",SUMIF($D$3:$D$546,"Inflow",$F$3:$F$546)-SUMIF($D$3:$D$546,"Outflow",$F$3:$F$546)+SUM(Bank_Accounts!$E$3:$E$22))</f>
      </c>
      <c r="J546" s="156"/>
      <c r="K546" s="64"/>
    </row>
    <row r="547" spans="1:11" x14ac:dyDescent="0.25">
      <c r="A547" s="65"/>
      <c r="B547" s="64"/>
      <c r="C547" s="64"/>
      <c r="D547" s="64"/>
      <c r="E547" s="64"/>
      <c r="F547" s="66"/>
      <c r="G547" s="64"/>
      <c r="H547" s="64"/>
      <c r="I547" s="157">
        <f>IF(A547="","",SUMIF($D$3:$D$547,"Inflow",$F$3:$F$547)-SUMIF($D$3:$D$547,"Outflow",$F$3:$F$547)+SUM(Bank_Accounts!$E$3:$E$22))</f>
      </c>
      <c r="J547" s="156"/>
      <c r="K547" s="64"/>
    </row>
    <row r="548" spans="1:11" x14ac:dyDescent="0.25">
      <c r="A548" s="65"/>
      <c r="B548" s="64"/>
      <c r="C548" s="64"/>
      <c r="D548" s="64"/>
      <c r="E548" s="64"/>
      <c r="F548" s="66"/>
      <c r="G548" s="64"/>
      <c r="H548" s="64"/>
      <c r="I548" s="157">
        <f>IF(A548="","",SUMIF($D$3:$D$548,"Inflow",$F$3:$F$548)-SUMIF($D$3:$D$548,"Outflow",$F$3:$F$548)+SUM(Bank_Accounts!$E$3:$E$22))</f>
      </c>
      <c r="J548" s="156"/>
      <c r="K548" s="64"/>
    </row>
    <row r="549" spans="1:11" x14ac:dyDescent="0.25">
      <c r="A549" s="65"/>
      <c r="B549" s="64"/>
      <c r="C549" s="64"/>
      <c r="D549" s="64"/>
      <c r="E549" s="64"/>
      <c r="F549" s="66"/>
      <c r="G549" s="64"/>
      <c r="H549" s="64"/>
      <c r="I549" s="157">
        <f>IF(A549="","",SUMIF($D$3:$D$549,"Inflow",$F$3:$F$549)-SUMIF($D$3:$D$549,"Outflow",$F$3:$F$549)+SUM(Bank_Accounts!$E$3:$E$22))</f>
      </c>
      <c r="J549" s="156"/>
      <c r="K549" s="64"/>
    </row>
    <row r="550" spans="1:11" x14ac:dyDescent="0.25">
      <c r="A550" s="65"/>
      <c r="B550" s="64"/>
      <c r="C550" s="64"/>
      <c r="D550" s="64"/>
      <c r="E550" s="64"/>
      <c r="F550" s="66"/>
      <c r="G550" s="64"/>
      <c r="H550" s="64"/>
      <c r="I550" s="157">
        <f>IF(A550="","",SUMIF($D$3:$D$550,"Inflow",$F$3:$F$550)-SUMIF($D$3:$D$550,"Outflow",$F$3:$F$550)+SUM(Bank_Accounts!$E$3:$E$22))</f>
      </c>
      <c r="J550" s="156"/>
      <c r="K550" s="64"/>
    </row>
    <row r="551" spans="1:11" x14ac:dyDescent="0.25">
      <c r="A551" s="65"/>
      <c r="B551" s="64"/>
      <c r="C551" s="64"/>
      <c r="D551" s="64"/>
      <c r="E551" s="64"/>
      <c r="F551" s="66"/>
      <c r="G551" s="64"/>
      <c r="H551" s="64"/>
      <c r="I551" s="157">
        <f>IF(A551="","",SUMIF($D$3:$D$551,"Inflow",$F$3:$F$551)-SUMIF($D$3:$D$551,"Outflow",$F$3:$F$551)+SUM(Bank_Accounts!$E$3:$E$22))</f>
      </c>
      <c r="J551" s="156"/>
      <c r="K551" s="64"/>
    </row>
    <row r="552" spans="1:11" x14ac:dyDescent="0.25">
      <c r="A552" s="65"/>
      <c r="B552" s="64"/>
      <c r="C552" s="64"/>
      <c r="D552" s="64"/>
      <c r="E552" s="64"/>
      <c r="F552" s="66"/>
      <c r="G552" s="64"/>
      <c r="H552" s="64"/>
      <c r="I552" s="157">
        <f>IF(A552="","",SUMIF($D$3:$D$552,"Inflow",$F$3:$F$552)-SUMIF($D$3:$D$552,"Outflow",$F$3:$F$552)+SUM(Bank_Accounts!$E$3:$E$22))</f>
      </c>
      <c r="J552" s="156"/>
      <c r="K552" s="64"/>
    </row>
    <row r="553" spans="1:11" x14ac:dyDescent="0.25">
      <c r="A553" s="65"/>
      <c r="B553" s="64"/>
      <c r="C553" s="64"/>
      <c r="D553" s="64"/>
      <c r="E553" s="64"/>
      <c r="F553" s="66"/>
      <c r="G553" s="64"/>
      <c r="H553" s="64"/>
      <c r="I553" s="157">
        <f>IF(A553="","",SUMIF($D$3:$D$553,"Inflow",$F$3:$F$553)-SUMIF($D$3:$D$553,"Outflow",$F$3:$F$553)+SUM(Bank_Accounts!$E$3:$E$22))</f>
      </c>
      <c r="J553" s="156"/>
      <c r="K553" s="64"/>
    </row>
    <row r="554" spans="1:11" x14ac:dyDescent="0.25">
      <c r="A554" s="65"/>
      <c r="B554" s="64"/>
      <c r="C554" s="64"/>
      <c r="D554" s="64"/>
      <c r="E554" s="64"/>
      <c r="F554" s="66"/>
      <c r="G554" s="64"/>
      <c r="H554" s="64"/>
      <c r="I554" s="157">
        <f>IF(A554="","",SUMIF($D$3:$D$554,"Inflow",$F$3:$F$554)-SUMIF($D$3:$D$554,"Outflow",$F$3:$F$554)+SUM(Bank_Accounts!$E$3:$E$22))</f>
      </c>
      <c r="J554" s="156"/>
      <c r="K554" s="64"/>
    </row>
    <row r="555" spans="1:11" x14ac:dyDescent="0.25">
      <c r="A555" s="65"/>
      <c r="B555" s="64"/>
      <c r="C555" s="64"/>
      <c r="D555" s="64"/>
      <c r="E555" s="64"/>
      <c r="F555" s="66"/>
      <c r="G555" s="64"/>
      <c r="H555" s="64"/>
      <c r="I555" s="157">
        <f>IF(A555="","",SUMIF($D$3:$D$555,"Inflow",$F$3:$F$555)-SUMIF($D$3:$D$555,"Outflow",$F$3:$F$555)+SUM(Bank_Accounts!$E$3:$E$22))</f>
      </c>
      <c r="J555" s="156"/>
      <c r="K555" s="64"/>
    </row>
    <row r="556" spans="1:11" x14ac:dyDescent="0.25">
      <c r="A556" s="65"/>
      <c r="B556" s="64"/>
      <c r="C556" s="64"/>
      <c r="D556" s="64"/>
      <c r="E556" s="64"/>
      <c r="F556" s="66"/>
      <c r="G556" s="64"/>
      <c r="H556" s="64"/>
      <c r="I556" s="157">
        <f>IF(A556="","",SUMIF($D$3:$D$556,"Inflow",$F$3:$F$556)-SUMIF($D$3:$D$556,"Outflow",$F$3:$F$556)+SUM(Bank_Accounts!$E$3:$E$22))</f>
      </c>
      <c r="J556" s="156"/>
      <c r="K556" s="64"/>
    </row>
    <row r="557" spans="1:11" x14ac:dyDescent="0.25">
      <c r="A557" s="65"/>
      <c r="B557" s="64"/>
      <c r="C557" s="64"/>
      <c r="D557" s="64"/>
      <c r="E557" s="64"/>
      <c r="F557" s="66"/>
      <c r="G557" s="64"/>
      <c r="H557" s="64"/>
      <c r="I557" s="157">
        <f>IF(A557="","",SUMIF($D$3:$D$557,"Inflow",$F$3:$F$557)-SUMIF($D$3:$D$557,"Outflow",$F$3:$F$557)+SUM(Bank_Accounts!$E$3:$E$22))</f>
      </c>
      <c r="J557" s="156"/>
      <c r="K557" s="64"/>
    </row>
    <row r="558" spans="1:11" x14ac:dyDescent="0.25">
      <c r="A558" s="65"/>
      <c r="B558" s="64"/>
      <c r="C558" s="64"/>
      <c r="D558" s="64"/>
      <c r="E558" s="64"/>
      <c r="F558" s="66"/>
      <c r="G558" s="64"/>
      <c r="H558" s="64"/>
      <c r="I558" s="157">
        <f>IF(A558="","",SUMIF($D$3:$D$558,"Inflow",$F$3:$F$558)-SUMIF($D$3:$D$558,"Outflow",$F$3:$F$558)+SUM(Bank_Accounts!$E$3:$E$22))</f>
      </c>
      <c r="J558" s="156"/>
      <c r="K558" s="64"/>
    </row>
    <row r="559" spans="1:11" x14ac:dyDescent="0.25">
      <c r="A559" s="65"/>
      <c r="B559" s="64"/>
      <c r="C559" s="64"/>
      <c r="D559" s="64"/>
      <c r="E559" s="64"/>
      <c r="F559" s="66"/>
      <c r="G559" s="64"/>
      <c r="H559" s="64"/>
      <c r="I559" s="157">
        <f>IF(A559="","",SUMIF($D$3:$D$559,"Inflow",$F$3:$F$559)-SUMIF($D$3:$D$559,"Outflow",$F$3:$F$559)+SUM(Bank_Accounts!$E$3:$E$22))</f>
      </c>
      <c r="J559" s="156"/>
      <c r="K559" s="64"/>
    </row>
    <row r="560" spans="1:11" x14ac:dyDescent="0.25">
      <c r="A560" s="65"/>
      <c r="B560" s="64"/>
      <c r="C560" s="64"/>
      <c r="D560" s="64"/>
      <c r="E560" s="64"/>
      <c r="F560" s="66"/>
      <c r="G560" s="64"/>
      <c r="H560" s="64"/>
      <c r="I560" s="157">
        <f>IF(A560="","",SUMIF($D$3:$D$560,"Inflow",$F$3:$F$560)-SUMIF($D$3:$D$560,"Outflow",$F$3:$F$560)+SUM(Bank_Accounts!$E$3:$E$22))</f>
      </c>
      <c r="J560" s="156"/>
      <c r="K560" s="64"/>
    </row>
    <row r="561" spans="1:11" x14ac:dyDescent="0.25">
      <c r="A561" s="65"/>
      <c r="B561" s="64"/>
      <c r="C561" s="64"/>
      <c r="D561" s="64"/>
      <c r="E561" s="64"/>
      <c r="F561" s="66"/>
      <c r="G561" s="64"/>
      <c r="H561" s="64"/>
      <c r="I561" s="157">
        <f>IF(A561="","",SUMIF($D$3:$D$561,"Inflow",$F$3:$F$561)-SUMIF($D$3:$D$561,"Outflow",$F$3:$F$561)+SUM(Bank_Accounts!$E$3:$E$22))</f>
      </c>
      <c r="J561" s="156"/>
      <c r="K561" s="64"/>
    </row>
    <row r="562" spans="1:11" x14ac:dyDescent="0.25">
      <c r="A562" s="65"/>
      <c r="B562" s="64"/>
      <c r="C562" s="64"/>
      <c r="D562" s="64"/>
      <c r="E562" s="64"/>
      <c r="F562" s="66"/>
      <c r="G562" s="64"/>
      <c r="H562" s="64"/>
      <c r="I562" s="157">
        <f>IF(A562="","",SUMIF($D$3:$D$562,"Inflow",$F$3:$F$562)-SUMIF($D$3:$D$562,"Outflow",$F$3:$F$562)+SUM(Bank_Accounts!$E$3:$E$22))</f>
      </c>
      <c r="J562" s="156"/>
      <c r="K562" s="64"/>
    </row>
    <row r="563" spans="1:11" x14ac:dyDescent="0.25">
      <c r="A563" s="65"/>
      <c r="B563" s="64"/>
      <c r="C563" s="64"/>
      <c r="D563" s="64"/>
      <c r="E563" s="64"/>
      <c r="F563" s="66"/>
      <c r="G563" s="64"/>
      <c r="H563" s="64"/>
      <c r="I563" s="157">
        <f>IF(A563="","",SUMIF($D$3:$D$563,"Inflow",$F$3:$F$563)-SUMIF($D$3:$D$563,"Outflow",$F$3:$F$563)+SUM(Bank_Accounts!$E$3:$E$22))</f>
      </c>
      <c r="J563" s="156"/>
      <c r="K563" s="64"/>
    </row>
    <row r="564" spans="1:11" x14ac:dyDescent="0.25">
      <c r="A564" s="65"/>
      <c r="B564" s="64"/>
      <c r="C564" s="64"/>
      <c r="D564" s="64"/>
      <c r="E564" s="64"/>
      <c r="F564" s="66"/>
      <c r="G564" s="64"/>
      <c r="H564" s="64"/>
      <c r="I564" s="157">
        <f>IF(A564="","",SUMIF($D$3:$D$564,"Inflow",$F$3:$F$564)-SUMIF($D$3:$D$564,"Outflow",$F$3:$F$564)+SUM(Bank_Accounts!$E$3:$E$22))</f>
      </c>
      <c r="J564" s="156"/>
      <c r="K564" s="64"/>
    </row>
    <row r="565" spans="1:11" x14ac:dyDescent="0.25">
      <c r="A565" s="65"/>
      <c r="B565" s="64"/>
      <c r="C565" s="64"/>
      <c r="D565" s="64"/>
      <c r="E565" s="64"/>
      <c r="F565" s="66"/>
      <c r="G565" s="64"/>
      <c r="H565" s="64"/>
      <c r="I565" s="157">
        <f>IF(A565="","",SUMIF($D$3:$D$565,"Inflow",$F$3:$F$565)-SUMIF($D$3:$D$565,"Outflow",$F$3:$F$565)+SUM(Bank_Accounts!$E$3:$E$22))</f>
      </c>
      <c r="J565" s="156"/>
      <c r="K565" s="64"/>
    </row>
    <row r="566" spans="1:11" x14ac:dyDescent="0.25">
      <c r="A566" s="65"/>
      <c r="B566" s="64"/>
      <c r="C566" s="64"/>
      <c r="D566" s="64"/>
      <c r="E566" s="64"/>
      <c r="F566" s="66"/>
      <c r="G566" s="64"/>
      <c r="H566" s="64"/>
      <c r="I566" s="157">
        <f>IF(A566="","",SUMIF($D$3:$D$566,"Inflow",$F$3:$F$566)-SUMIF($D$3:$D$566,"Outflow",$F$3:$F$566)+SUM(Bank_Accounts!$E$3:$E$22))</f>
      </c>
      <c r="J566" s="156"/>
      <c r="K566" s="64"/>
    </row>
    <row r="567" spans="1:11" x14ac:dyDescent="0.25">
      <c r="A567" s="65"/>
      <c r="B567" s="64"/>
      <c r="C567" s="64"/>
      <c r="D567" s="64"/>
      <c r="E567" s="64"/>
      <c r="F567" s="66"/>
      <c r="G567" s="64"/>
      <c r="H567" s="64"/>
      <c r="I567" s="157">
        <f>IF(A567="","",SUMIF($D$3:$D$567,"Inflow",$F$3:$F$567)-SUMIF($D$3:$D$567,"Outflow",$F$3:$F$567)+SUM(Bank_Accounts!$E$3:$E$22))</f>
      </c>
      <c r="J567" s="156"/>
      <c r="K567" s="64"/>
    </row>
    <row r="568" spans="1:11" x14ac:dyDescent="0.25">
      <c r="A568" s="65"/>
      <c r="B568" s="64"/>
      <c r="C568" s="64"/>
      <c r="D568" s="64"/>
      <c r="E568" s="64"/>
      <c r="F568" s="66"/>
      <c r="G568" s="64"/>
      <c r="H568" s="64"/>
      <c r="I568" s="157">
        <f>IF(A568="","",SUMIF($D$3:$D$568,"Inflow",$F$3:$F$568)-SUMIF($D$3:$D$568,"Outflow",$F$3:$F$568)+SUM(Bank_Accounts!$E$3:$E$22))</f>
      </c>
      <c r="J568" s="156"/>
      <c r="K568" s="64"/>
    </row>
    <row r="569" spans="1:11" x14ac:dyDescent="0.25">
      <c r="A569" s="65"/>
      <c r="B569" s="64"/>
      <c r="C569" s="64"/>
      <c r="D569" s="64"/>
      <c r="E569" s="64"/>
      <c r="F569" s="66"/>
      <c r="G569" s="64"/>
      <c r="H569" s="64"/>
      <c r="I569" s="157">
        <f>IF(A569="","",SUMIF($D$3:$D$569,"Inflow",$F$3:$F$569)-SUMIF($D$3:$D$569,"Outflow",$F$3:$F$569)+SUM(Bank_Accounts!$E$3:$E$22))</f>
      </c>
      <c r="J569" s="156"/>
      <c r="K569" s="64"/>
    </row>
    <row r="570" spans="1:11" x14ac:dyDescent="0.25">
      <c r="A570" s="65"/>
      <c r="B570" s="64"/>
      <c r="C570" s="64"/>
      <c r="D570" s="64"/>
      <c r="E570" s="64"/>
      <c r="F570" s="66"/>
      <c r="G570" s="64"/>
      <c r="H570" s="64"/>
      <c r="I570" s="157">
        <f>IF(A570="","",SUMIF($D$3:$D$570,"Inflow",$F$3:$F$570)-SUMIF($D$3:$D$570,"Outflow",$F$3:$F$570)+SUM(Bank_Accounts!$E$3:$E$22))</f>
      </c>
      <c r="J570" s="156"/>
      <c r="K570" s="64"/>
    </row>
    <row r="571" spans="1:11" x14ac:dyDescent="0.25">
      <c r="A571" s="65"/>
      <c r="B571" s="64"/>
      <c r="C571" s="64"/>
      <c r="D571" s="64"/>
      <c r="E571" s="64"/>
      <c r="F571" s="66"/>
      <c r="G571" s="64"/>
      <c r="H571" s="64"/>
      <c r="I571" s="157">
        <f>IF(A571="","",SUMIF($D$3:$D$571,"Inflow",$F$3:$F$571)-SUMIF($D$3:$D$571,"Outflow",$F$3:$F$571)+SUM(Bank_Accounts!$E$3:$E$22))</f>
      </c>
      <c r="J571" s="156"/>
      <c r="K571" s="64"/>
    </row>
    <row r="572" spans="1:11" x14ac:dyDescent="0.25">
      <c r="A572" s="65"/>
      <c r="B572" s="64"/>
      <c r="C572" s="64"/>
      <c r="D572" s="64"/>
      <c r="E572" s="64"/>
      <c r="F572" s="66"/>
      <c r="G572" s="64"/>
      <c r="H572" s="64"/>
      <c r="I572" s="157">
        <f>IF(A572="","",SUMIF($D$3:$D$572,"Inflow",$F$3:$F$572)-SUMIF($D$3:$D$572,"Outflow",$F$3:$F$572)+SUM(Bank_Accounts!$E$3:$E$22))</f>
      </c>
      <c r="J572" s="156"/>
      <c r="K572" s="64"/>
    </row>
    <row r="573" spans="1:11" x14ac:dyDescent="0.25">
      <c r="A573" s="65"/>
      <c r="B573" s="64"/>
      <c r="C573" s="64"/>
      <c r="D573" s="64"/>
      <c r="E573" s="64"/>
      <c r="F573" s="66"/>
      <c r="G573" s="64"/>
      <c r="H573" s="64"/>
      <c r="I573" s="157">
        <f>IF(A573="","",SUMIF($D$3:$D$573,"Inflow",$F$3:$F$573)-SUMIF($D$3:$D$573,"Outflow",$F$3:$F$573)+SUM(Bank_Accounts!$E$3:$E$22))</f>
      </c>
      <c r="J573" s="156"/>
      <c r="K573" s="64"/>
    </row>
    <row r="574" spans="1:11" x14ac:dyDescent="0.25">
      <c r="A574" s="65"/>
      <c r="B574" s="64"/>
      <c r="C574" s="64"/>
      <c r="D574" s="64"/>
      <c r="E574" s="64"/>
      <c r="F574" s="66"/>
      <c r="G574" s="64"/>
      <c r="H574" s="64"/>
      <c r="I574" s="157">
        <f>IF(A574="","",SUMIF($D$3:$D$574,"Inflow",$F$3:$F$574)-SUMIF($D$3:$D$574,"Outflow",$F$3:$F$574)+SUM(Bank_Accounts!$E$3:$E$22))</f>
      </c>
      <c r="J574" s="156"/>
      <c r="K574" s="64"/>
    </row>
    <row r="575" spans="1:11" x14ac:dyDescent="0.25">
      <c r="A575" s="65"/>
      <c r="B575" s="64"/>
      <c r="C575" s="64"/>
      <c r="D575" s="64"/>
      <c r="E575" s="64"/>
      <c r="F575" s="66"/>
      <c r="G575" s="64"/>
      <c r="H575" s="64"/>
      <c r="I575" s="157">
        <f>IF(A575="","",SUMIF($D$3:$D$575,"Inflow",$F$3:$F$575)-SUMIF($D$3:$D$575,"Outflow",$F$3:$F$575)+SUM(Bank_Accounts!$E$3:$E$22))</f>
      </c>
      <c r="J575" s="156"/>
      <c r="K575" s="64"/>
    </row>
    <row r="576" spans="1:11" x14ac:dyDescent="0.25">
      <c r="A576" s="65"/>
      <c r="B576" s="64"/>
      <c r="C576" s="64"/>
      <c r="D576" s="64"/>
      <c r="E576" s="64"/>
      <c r="F576" s="66"/>
      <c r="G576" s="64"/>
      <c r="H576" s="64"/>
      <c r="I576" s="157">
        <f>IF(A576="","",SUMIF($D$3:$D$576,"Inflow",$F$3:$F$576)-SUMIF($D$3:$D$576,"Outflow",$F$3:$F$576)+SUM(Bank_Accounts!$E$3:$E$22))</f>
      </c>
      <c r="J576" s="156"/>
      <c r="K576" s="64"/>
    </row>
    <row r="577" spans="1:11" x14ac:dyDescent="0.25">
      <c r="A577" s="65"/>
      <c r="B577" s="64"/>
      <c r="C577" s="64"/>
      <c r="D577" s="64"/>
      <c r="E577" s="64"/>
      <c r="F577" s="66"/>
      <c r="G577" s="64"/>
      <c r="H577" s="64"/>
      <c r="I577" s="157">
        <f>IF(A577="","",SUMIF($D$3:$D$577,"Inflow",$F$3:$F$577)-SUMIF($D$3:$D$577,"Outflow",$F$3:$F$577)+SUM(Bank_Accounts!$E$3:$E$22))</f>
      </c>
      <c r="J577" s="156"/>
      <c r="K577" s="64"/>
    </row>
    <row r="578" spans="1:11" x14ac:dyDescent="0.25">
      <c r="A578" s="65"/>
      <c r="B578" s="64"/>
      <c r="C578" s="64"/>
      <c r="D578" s="64"/>
      <c r="E578" s="64"/>
      <c r="F578" s="66"/>
      <c r="G578" s="64"/>
      <c r="H578" s="64"/>
      <c r="I578" s="157">
        <f>IF(A578="","",SUMIF($D$3:$D$578,"Inflow",$F$3:$F$578)-SUMIF($D$3:$D$578,"Outflow",$F$3:$F$578)+SUM(Bank_Accounts!$E$3:$E$22))</f>
      </c>
      <c r="J578" s="156"/>
      <c r="K578" s="64"/>
    </row>
    <row r="579" spans="1:11" x14ac:dyDescent="0.25">
      <c r="A579" s="65"/>
      <c r="B579" s="64"/>
      <c r="C579" s="64"/>
      <c r="D579" s="64"/>
      <c r="E579" s="64"/>
      <c r="F579" s="66"/>
      <c r="G579" s="64"/>
      <c r="H579" s="64"/>
      <c r="I579" s="157">
        <f>IF(A579="","",SUMIF($D$3:$D$579,"Inflow",$F$3:$F$579)-SUMIF($D$3:$D$579,"Outflow",$F$3:$F$579)+SUM(Bank_Accounts!$E$3:$E$22))</f>
      </c>
      <c r="J579" s="156"/>
      <c r="K579" s="64"/>
    </row>
    <row r="580" spans="1:11" x14ac:dyDescent="0.25">
      <c r="A580" s="65"/>
      <c r="B580" s="64"/>
      <c r="C580" s="64"/>
      <c r="D580" s="64"/>
      <c r="E580" s="64"/>
      <c r="F580" s="66"/>
      <c r="G580" s="64"/>
      <c r="H580" s="64"/>
      <c r="I580" s="157">
        <f>IF(A580="","",SUMIF($D$3:$D$580,"Inflow",$F$3:$F$580)-SUMIF($D$3:$D$580,"Outflow",$F$3:$F$580)+SUM(Bank_Accounts!$E$3:$E$22))</f>
      </c>
      <c r="J580" s="156"/>
      <c r="K580" s="64"/>
    </row>
    <row r="581" spans="1:11" x14ac:dyDescent="0.25">
      <c r="A581" s="65"/>
      <c r="B581" s="64"/>
      <c r="C581" s="64"/>
      <c r="D581" s="64"/>
      <c r="E581" s="64"/>
      <c r="F581" s="66"/>
      <c r="G581" s="64"/>
      <c r="H581" s="64"/>
      <c r="I581" s="157">
        <f>IF(A581="","",SUMIF($D$3:$D$581,"Inflow",$F$3:$F$581)-SUMIF($D$3:$D$581,"Outflow",$F$3:$F$581)+SUM(Bank_Accounts!$E$3:$E$22))</f>
      </c>
      <c r="J581" s="156"/>
      <c r="K581" s="64"/>
    </row>
    <row r="582" spans="1:11" x14ac:dyDescent="0.25">
      <c r="A582" s="65"/>
      <c r="B582" s="64"/>
      <c r="C582" s="64"/>
      <c r="D582" s="64"/>
      <c r="E582" s="64"/>
      <c r="F582" s="66"/>
      <c r="G582" s="64"/>
      <c r="H582" s="64"/>
      <c r="I582" s="157">
        <f>IF(A582="","",SUMIF($D$3:$D$582,"Inflow",$F$3:$F$582)-SUMIF($D$3:$D$582,"Outflow",$F$3:$F$582)+SUM(Bank_Accounts!$E$3:$E$22))</f>
      </c>
      <c r="J582" s="156"/>
      <c r="K582" s="64"/>
    </row>
    <row r="583" spans="1:11" x14ac:dyDescent="0.25">
      <c r="A583" s="65"/>
      <c r="B583" s="64"/>
      <c r="C583" s="64"/>
      <c r="D583" s="64"/>
      <c r="E583" s="64"/>
      <c r="F583" s="66"/>
      <c r="G583" s="64"/>
      <c r="H583" s="64"/>
      <c r="I583" s="157">
        <f>IF(A583="","",SUMIF($D$3:$D$583,"Inflow",$F$3:$F$583)-SUMIF($D$3:$D$583,"Outflow",$F$3:$F$583)+SUM(Bank_Accounts!$E$3:$E$22))</f>
      </c>
      <c r="J583" s="156"/>
      <c r="K583" s="64"/>
    </row>
    <row r="584" spans="1:11" x14ac:dyDescent="0.25">
      <c r="A584" s="65"/>
      <c r="B584" s="64"/>
      <c r="C584" s="64"/>
      <c r="D584" s="64"/>
      <c r="E584" s="64"/>
      <c r="F584" s="66"/>
      <c r="G584" s="64"/>
      <c r="H584" s="64"/>
      <c r="I584" s="157">
        <f>IF(A584="","",SUMIF($D$3:$D$584,"Inflow",$F$3:$F$584)-SUMIF($D$3:$D$584,"Outflow",$F$3:$F$584)+SUM(Bank_Accounts!$E$3:$E$22))</f>
      </c>
      <c r="J584" s="156"/>
      <c r="K584" s="64"/>
    </row>
    <row r="585" spans="1:11" x14ac:dyDescent="0.25">
      <c r="A585" s="65"/>
      <c r="B585" s="64"/>
      <c r="C585" s="64"/>
      <c r="D585" s="64"/>
      <c r="E585" s="64"/>
      <c r="F585" s="66"/>
      <c r="G585" s="64"/>
      <c r="H585" s="64"/>
      <c r="I585" s="157">
        <f>IF(A585="","",SUMIF($D$3:$D$585,"Inflow",$F$3:$F$585)-SUMIF($D$3:$D$585,"Outflow",$F$3:$F$585)+SUM(Bank_Accounts!$E$3:$E$22))</f>
      </c>
      <c r="J585" s="156"/>
      <c r="K585" s="64"/>
    </row>
    <row r="586" spans="1:11" x14ac:dyDescent="0.25">
      <c r="A586" s="65"/>
      <c r="B586" s="64"/>
      <c r="C586" s="64"/>
      <c r="D586" s="64"/>
      <c r="E586" s="64"/>
      <c r="F586" s="66"/>
      <c r="G586" s="64"/>
      <c r="H586" s="64"/>
      <c r="I586" s="157">
        <f>IF(A586="","",SUMIF($D$3:$D$586,"Inflow",$F$3:$F$586)-SUMIF($D$3:$D$586,"Outflow",$F$3:$F$586)+SUM(Bank_Accounts!$E$3:$E$22))</f>
      </c>
      <c r="J586" s="156"/>
      <c r="K586" s="64"/>
    </row>
    <row r="587" spans="1:11" x14ac:dyDescent="0.25">
      <c r="A587" s="65"/>
      <c r="B587" s="64"/>
      <c r="C587" s="64"/>
      <c r="D587" s="64"/>
      <c r="E587" s="64"/>
      <c r="F587" s="66"/>
      <c r="G587" s="64"/>
      <c r="H587" s="64"/>
      <c r="I587" s="157">
        <f>IF(A587="","",SUMIF($D$3:$D$587,"Inflow",$F$3:$F$587)-SUMIF($D$3:$D$587,"Outflow",$F$3:$F$587)+SUM(Bank_Accounts!$E$3:$E$22))</f>
      </c>
      <c r="J587" s="156"/>
      <c r="K587" s="64"/>
    </row>
    <row r="588" spans="1:11" x14ac:dyDescent="0.25">
      <c r="A588" s="65"/>
      <c r="B588" s="64"/>
      <c r="C588" s="64"/>
      <c r="D588" s="64"/>
      <c r="E588" s="64"/>
      <c r="F588" s="66"/>
      <c r="G588" s="64"/>
      <c r="H588" s="64"/>
      <c r="I588" s="157">
        <f>IF(A588="","",SUMIF($D$3:$D$588,"Inflow",$F$3:$F$588)-SUMIF($D$3:$D$588,"Outflow",$F$3:$F$588)+SUM(Bank_Accounts!$E$3:$E$22))</f>
      </c>
      <c r="J588" s="156"/>
      <c r="K588" s="64"/>
    </row>
    <row r="589" spans="1:11" x14ac:dyDescent="0.25">
      <c r="A589" s="65"/>
      <c r="B589" s="64"/>
      <c r="C589" s="64"/>
      <c r="D589" s="64"/>
      <c r="E589" s="64"/>
      <c r="F589" s="66"/>
      <c r="G589" s="64"/>
      <c r="H589" s="64"/>
      <c r="I589" s="157">
        <f>IF(A589="","",SUMIF($D$3:$D$589,"Inflow",$F$3:$F$589)-SUMIF($D$3:$D$589,"Outflow",$F$3:$F$589)+SUM(Bank_Accounts!$E$3:$E$22))</f>
      </c>
      <c r="J589" s="156"/>
      <c r="K589" s="64"/>
    </row>
    <row r="590" spans="1:11" x14ac:dyDescent="0.25">
      <c r="A590" s="65"/>
      <c r="B590" s="64"/>
      <c r="C590" s="64"/>
      <c r="D590" s="64"/>
      <c r="E590" s="64"/>
      <c r="F590" s="66"/>
      <c r="G590" s="64"/>
      <c r="H590" s="64"/>
      <c r="I590" s="157">
        <f>IF(A590="","",SUMIF($D$3:$D$590,"Inflow",$F$3:$F$590)-SUMIF($D$3:$D$590,"Outflow",$F$3:$F$590)+SUM(Bank_Accounts!$E$3:$E$22))</f>
      </c>
      <c r="J590" s="156"/>
      <c r="K590" s="64"/>
    </row>
    <row r="591" spans="1:11" x14ac:dyDescent="0.25">
      <c r="A591" s="65"/>
      <c r="B591" s="64"/>
      <c r="C591" s="64"/>
      <c r="D591" s="64"/>
      <c r="E591" s="64"/>
      <c r="F591" s="66"/>
      <c r="G591" s="64"/>
      <c r="H591" s="64"/>
      <c r="I591" s="157">
        <f>IF(A591="","",SUMIF($D$3:$D$591,"Inflow",$F$3:$F$591)-SUMIF($D$3:$D$591,"Outflow",$F$3:$F$591)+SUM(Bank_Accounts!$E$3:$E$22))</f>
      </c>
      <c r="J591" s="156"/>
      <c r="K591" s="64"/>
    </row>
    <row r="592" spans="1:11" x14ac:dyDescent="0.25">
      <c r="A592" s="65"/>
      <c r="B592" s="64"/>
      <c r="C592" s="64"/>
      <c r="D592" s="64"/>
      <c r="E592" s="64"/>
      <c r="F592" s="66"/>
      <c r="G592" s="64"/>
      <c r="H592" s="64"/>
      <c r="I592" s="157">
        <f>IF(A592="","",SUMIF($D$3:$D$592,"Inflow",$F$3:$F$592)-SUMIF($D$3:$D$592,"Outflow",$F$3:$F$592)+SUM(Bank_Accounts!$E$3:$E$22))</f>
      </c>
      <c r="J592" s="156"/>
      <c r="K592" s="64"/>
    </row>
    <row r="593" spans="1:11" x14ac:dyDescent="0.25">
      <c r="A593" s="65"/>
      <c r="B593" s="64"/>
      <c r="C593" s="64"/>
      <c r="D593" s="64"/>
      <c r="E593" s="64"/>
      <c r="F593" s="66"/>
      <c r="G593" s="64"/>
      <c r="H593" s="64"/>
      <c r="I593" s="157">
        <f>IF(A593="","",SUMIF($D$3:$D$593,"Inflow",$F$3:$F$593)-SUMIF($D$3:$D$593,"Outflow",$F$3:$F$593)+SUM(Bank_Accounts!$E$3:$E$22))</f>
      </c>
      <c r="J593" s="156"/>
      <c r="K593" s="64"/>
    </row>
    <row r="594" spans="1:11" x14ac:dyDescent="0.25">
      <c r="A594" s="65"/>
      <c r="B594" s="64"/>
      <c r="C594" s="64"/>
      <c r="D594" s="64"/>
      <c r="E594" s="64"/>
      <c r="F594" s="66"/>
      <c r="G594" s="64"/>
      <c r="H594" s="64"/>
      <c r="I594" s="157">
        <f>IF(A594="","",SUMIF($D$3:$D$594,"Inflow",$F$3:$F$594)-SUMIF($D$3:$D$594,"Outflow",$F$3:$F$594)+SUM(Bank_Accounts!$E$3:$E$22))</f>
      </c>
      <c r="J594" s="156"/>
      <c r="K594" s="64"/>
    </row>
    <row r="595" spans="1:11" x14ac:dyDescent="0.25">
      <c r="A595" s="65"/>
      <c r="B595" s="64"/>
      <c r="C595" s="64"/>
      <c r="D595" s="64"/>
      <c r="E595" s="64"/>
      <c r="F595" s="66"/>
      <c r="G595" s="64"/>
      <c r="H595" s="64"/>
      <c r="I595" s="157">
        <f>IF(A595="","",SUMIF($D$3:$D$595,"Inflow",$F$3:$F$595)-SUMIF($D$3:$D$595,"Outflow",$F$3:$F$595)+SUM(Bank_Accounts!$E$3:$E$22))</f>
      </c>
      <c r="J595" s="156"/>
      <c r="K595" s="64"/>
    </row>
    <row r="596" spans="1:11" x14ac:dyDescent="0.25">
      <c r="A596" s="65"/>
      <c r="B596" s="64"/>
      <c r="C596" s="64"/>
      <c r="D596" s="64"/>
      <c r="E596" s="64"/>
      <c r="F596" s="66"/>
      <c r="G596" s="64"/>
      <c r="H596" s="64"/>
      <c r="I596" s="157">
        <f>IF(A596="","",SUMIF($D$3:$D$596,"Inflow",$F$3:$F$596)-SUMIF($D$3:$D$596,"Outflow",$F$3:$F$596)+SUM(Bank_Accounts!$E$3:$E$22))</f>
      </c>
      <c r="J596" s="156"/>
      <c r="K596" s="64"/>
    </row>
    <row r="597" spans="1:11" x14ac:dyDescent="0.25">
      <c r="A597" s="65"/>
      <c r="B597" s="64"/>
      <c r="C597" s="64"/>
      <c r="D597" s="64"/>
      <c r="E597" s="64"/>
      <c r="F597" s="66"/>
      <c r="G597" s="64"/>
      <c r="H597" s="64"/>
      <c r="I597" s="157">
        <f>IF(A597="","",SUMIF($D$3:$D$597,"Inflow",$F$3:$F$597)-SUMIF($D$3:$D$597,"Outflow",$F$3:$F$597)+SUM(Bank_Accounts!$E$3:$E$22))</f>
      </c>
      <c r="J597" s="156"/>
      <c r="K597" s="64"/>
    </row>
    <row r="598" spans="1:11" x14ac:dyDescent="0.25">
      <c r="A598" s="65"/>
      <c r="B598" s="64"/>
      <c r="C598" s="64"/>
      <c r="D598" s="64"/>
      <c r="E598" s="64"/>
      <c r="F598" s="66"/>
      <c r="G598" s="64"/>
      <c r="H598" s="64"/>
      <c r="I598" s="157">
        <f>IF(A598="","",SUMIF($D$3:$D$598,"Inflow",$F$3:$F$598)-SUMIF($D$3:$D$598,"Outflow",$F$3:$F$598)+SUM(Bank_Accounts!$E$3:$E$22))</f>
      </c>
      <c r="J598" s="156"/>
      <c r="K598" s="64"/>
    </row>
    <row r="599" spans="1:11" x14ac:dyDescent="0.25">
      <c r="A599" s="65"/>
      <c r="B599" s="64"/>
      <c r="C599" s="64"/>
      <c r="D599" s="64"/>
      <c r="E599" s="64"/>
      <c r="F599" s="66"/>
      <c r="G599" s="64"/>
      <c r="H599" s="64"/>
      <c r="I599" s="157">
        <f>IF(A599="","",SUMIF($D$3:$D$599,"Inflow",$F$3:$F$599)-SUMIF($D$3:$D$599,"Outflow",$F$3:$F$599)+SUM(Bank_Accounts!$E$3:$E$22))</f>
      </c>
      <c r="J599" s="156"/>
      <c r="K599" s="64"/>
    </row>
    <row r="600" spans="1:11" x14ac:dyDescent="0.25">
      <c r="A600" s="65"/>
      <c r="B600" s="64"/>
      <c r="C600" s="64"/>
      <c r="D600" s="64"/>
      <c r="E600" s="64"/>
      <c r="F600" s="66"/>
      <c r="G600" s="64"/>
      <c r="H600" s="64"/>
      <c r="I600" s="157">
        <f>IF(A600="","",SUMIF($D$3:$D$600,"Inflow",$F$3:$F$600)-SUMIF($D$3:$D$600,"Outflow",$F$3:$F$600)+SUM(Bank_Accounts!$E$3:$E$22))</f>
      </c>
      <c r="J600" s="156"/>
      <c r="K600" s="64"/>
    </row>
    <row r="601" spans="1:11" x14ac:dyDescent="0.25">
      <c r="A601" s="65"/>
      <c r="B601" s="64"/>
      <c r="C601" s="64"/>
      <c r="D601" s="64"/>
      <c r="E601" s="64"/>
      <c r="F601" s="66"/>
      <c r="G601" s="64"/>
      <c r="H601" s="64"/>
      <c r="I601" s="157">
        <f>IF(A601="","",SUMIF($D$3:$D$601,"Inflow",$F$3:$F$601)-SUMIF($D$3:$D$601,"Outflow",$F$3:$F$601)+SUM(Bank_Accounts!$E$3:$E$22))</f>
      </c>
      <c r="J601" s="156"/>
      <c r="K601" s="64"/>
    </row>
    <row r="602" spans="1:11" x14ac:dyDescent="0.25">
      <c r="A602" s="65"/>
      <c r="B602" s="64"/>
      <c r="C602" s="64"/>
      <c r="D602" s="64"/>
      <c r="E602" s="64"/>
      <c r="F602" s="66"/>
      <c r="G602" s="64"/>
      <c r="H602" s="64"/>
      <c r="I602" s="157">
        <f>IF(A602="","",SUMIF($D$3:$D$602,"Inflow",$F$3:$F$602)-SUMIF($D$3:$D$602,"Outflow",$F$3:$F$602)+SUM(Bank_Accounts!$E$3:$E$22))</f>
      </c>
      <c r="J602" s="156"/>
      <c r="K602" s="64"/>
    </row>
    <row r="603" spans="1:11" x14ac:dyDescent="0.25">
      <c r="A603" s="65"/>
      <c r="B603" s="64"/>
      <c r="C603" s="64"/>
      <c r="D603" s="64"/>
      <c r="E603" s="64"/>
      <c r="F603" s="66"/>
      <c r="G603" s="64"/>
      <c r="H603" s="64"/>
      <c r="I603" s="157">
        <f>IF(A603="","",SUMIF($D$3:$D$603,"Inflow",$F$3:$F$603)-SUMIF($D$3:$D$603,"Outflow",$F$3:$F$603)+SUM(Bank_Accounts!$E$3:$E$22))</f>
      </c>
      <c r="J603" s="156"/>
      <c r="K603" s="64"/>
    </row>
    <row r="604" spans="1:11" x14ac:dyDescent="0.25">
      <c r="A604" s="65"/>
      <c r="B604" s="64"/>
      <c r="C604" s="64"/>
      <c r="D604" s="64"/>
      <c r="E604" s="64"/>
      <c r="F604" s="66"/>
      <c r="G604" s="64"/>
      <c r="H604" s="64"/>
      <c r="I604" s="157">
        <f>IF(A604="","",SUMIF($D$3:$D$604,"Inflow",$F$3:$F$604)-SUMIF($D$3:$D$604,"Outflow",$F$3:$F$604)+SUM(Bank_Accounts!$E$3:$E$22))</f>
      </c>
      <c r="J604" s="156"/>
      <c r="K604" s="64"/>
    </row>
    <row r="605" spans="1:11" x14ac:dyDescent="0.25">
      <c r="A605" s="65"/>
      <c r="B605" s="64"/>
      <c r="C605" s="64"/>
      <c r="D605" s="64"/>
      <c r="E605" s="64"/>
      <c r="F605" s="66"/>
      <c r="G605" s="64"/>
      <c r="H605" s="64"/>
      <c r="I605" s="157">
        <f>IF(A605="","",SUMIF($D$3:$D$605,"Inflow",$F$3:$F$605)-SUMIF($D$3:$D$605,"Outflow",$F$3:$F$605)+SUM(Bank_Accounts!$E$3:$E$22))</f>
      </c>
      <c r="J605" s="156"/>
      <c r="K605" s="64"/>
    </row>
    <row r="606" spans="1:11" x14ac:dyDescent="0.25">
      <c r="A606" s="65"/>
      <c r="B606" s="64"/>
      <c r="C606" s="64"/>
      <c r="D606" s="64"/>
      <c r="E606" s="64"/>
      <c r="F606" s="66"/>
      <c r="G606" s="64"/>
      <c r="H606" s="64"/>
      <c r="I606" s="157">
        <f>IF(A606="","",SUMIF($D$3:$D$606,"Inflow",$F$3:$F$606)-SUMIF($D$3:$D$606,"Outflow",$F$3:$F$606)+SUM(Bank_Accounts!$E$3:$E$22))</f>
      </c>
      <c r="J606" s="156"/>
      <c r="K606" s="64"/>
    </row>
    <row r="607" spans="1:11" x14ac:dyDescent="0.25">
      <c r="A607" s="65"/>
      <c r="B607" s="64"/>
      <c r="C607" s="64"/>
      <c r="D607" s="64"/>
      <c r="E607" s="64"/>
      <c r="F607" s="66"/>
      <c r="G607" s="64"/>
      <c r="H607" s="64"/>
      <c r="I607" s="157">
        <f>IF(A607="","",SUMIF($D$3:$D$607,"Inflow",$F$3:$F$607)-SUMIF($D$3:$D$607,"Outflow",$F$3:$F$607)+SUM(Bank_Accounts!$E$3:$E$22))</f>
      </c>
      <c r="J607" s="156"/>
      <c r="K607" s="64"/>
    </row>
    <row r="608" spans="1:11" x14ac:dyDescent="0.25">
      <c r="A608" s="65"/>
      <c r="B608" s="64"/>
      <c r="C608" s="64"/>
      <c r="D608" s="64"/>
      <c r="E608" s="64"/>
      <c r="F608" s="66"/>
      <c r="G608" s="64"/>
      <c r="H608" s="64"/>
      <c r="I608" s="157">
        <f>IF(A608="","",SUMIF($D$3:$D$608,"Inflow",$F$3:$F$608)-SUMIF($D$3:$D$608,"Outflow",$F$3:$F$608)+SUM(Bank_Accounts!$E$3:$E$22))</f>
      </c>
      <c r="J608" s="156"/>
      <c r="K608" s="64"/>
    </row>
    <row r="609" spans="1:11" x14ac:dyDescent="0.25">
      <c r="A609" s="65"/>
      <c r="B609" s="64"/>
      <c r="C609" s="64"/>
      <c r="D609" s="64"/>
      <c r="E609" s="64"/>
      <c r="F609" s="66"/>
      <c r="G609" s="64"/>
      <c r="H609" s="64"/>
      <c r="I609" s="157">
        <f>IF(A609="","",SUMIF($D$3:$D$609,"Inflow",$F$3:$F$609)-SUMIF($D$3:$D$609,"Outflow",$F$3:$F$609)+SUM(Bank_Accounts!$E$3:$E$22))</f>
      </c>
      <c r="J609" s="156"/>
      <c r="K609" s="64"/>
    </row>
    <row r="610" spans="1:11" x14ac:dyDescent="0.25">
      <c r="A610" s="65"/>
      <c r="B610" s="64"/>
      <c r="C610" s="64"/>
      <c r="D610" s="64"/>
      <c r="E610" s="64"/>
      <c r="F610" s="66"/>
      <c r="G610" s="64"/>
      <c r="H610" s="64"/>
      <c r="I610" s="157">
        <f>IF(A610="","",SUMIF($D$3:$D$610,"Inflow",$F$3:$F$610)-SUMIF($D$3:$D$610,"Outflow",$F$3:$F$610)+SUM(Bank_Accounts!$E$3:$E$22))</f>
      </c>
      <c r="J610" s="156"/>
      <c r="K610" s="64"/>
    </row>
    <row r="611" spans="1:11" x14ac:dyDescent="0.25">
      <c r="A611" s="65"/>
      <c r="B611" s="64"/>
      <c r="C611" s="64"/>
      <c r="D611" s="64"/>
      <c r="E611" s="64"/>
      <c r="F611" s="66"/>
      <c r="G611" s="64"/>
      <c r="H611" s="64"/>
      <c r="I611" s="157">
        <f>IF(A611="","",SUMIF($D$3:$D$611,"Inflow",$F$3:$F$611)-SUMIF($D$3:$D$611,"Outflow",$F$3:$F$611)+SUM(Bank_Accounts!$E$3:$E$22))</f>
      </c>
      <c r="J611" s="156"/>
      <c r="K611" s="64"/>
    </row>
    <row r="612" spans="1:11" x14ac:dyDescent="0.25">
      <c r="A612" s="65"/>
      <c r="B612" s="64"/>
      <c r="C612" s="64"/>
      <c r="D612" s="64"/>
      <c r="E612" s="64"/>
      <c r="F612" s="66"/>
      <c r="G612" s="64"/>
      <c r="H612" s="64"/>
      <c r="I612" s="157">
        <f>IF(A612="","",SUMIF($D$3:$D$612,"Inflow",$F$3:$F$612)-SUMIF($D$3:$D$612,"Outflow",$F$3:$F$612)+SUM(Bank_Accounts!$E$3:$E$22))</f>
      </c>
      <c r="J612" s="156"/>
      <c r="K612" s="64"/>
    </row>
    <row r="613" spans="1:11" x14ac:dyDescent="0.25">
      <c r="A613" s="65"/>
      <c r="B613" s="64"/>
      <c r="C613" s="64"/>
      <c r="D613" s="64"/>
      <c r="E613" s="64"/>
      <c r="F613" s="66"/>
      <c r="G613" s="64"/>
      <c r="H613" s="64"/>
      <c r="I613" s="157">
        <f>IF(A613="","",SUMIF($D$3:$D$613,"Inflow",$F$3:$F$613)-SUMIF($D$3:$D$613,"Outflow",$F$3:$F$613)+SUM(Bank_Accounts!$E$3:$E$22))</f>
      </c>
      <c r="J613" s="156"/>
      <c r="K613" s="64"/>
    </row>
    <row r="614" spans="1:11" x14ac:dyDescent="0.25">
      <c r="A614" s="65"/>
      <c r="B614" s="64"/>
      <c r="C614" s="64"/>
      <c r="D614" s="64"/>
      <c r="E614" s="64"/>
      <c r="F614" s="66"/>
      <c r="G614" s="64"/>
      <c r="H614" s="64"/>
      <c r="I614" s="157">
        <f>IF(A614="","",SUMIF($D$3:$D$614,"Inflow",$F$3:$F$614)-SUMIF($D$3:$D$614,"Outflow",$F$3:$F$614)+SUM(Bank_Accounts!$E$3:$E$22))</f>
      </c>
      <c r="J614" s="156"/>
      <c r="K614" s="64"/>
    </row>
    <row r="615" spans="1:11" x14ac:dyDescent="0.25">
      <c r="A615" s="65"/>
      <c r="B615" s="64"/>
      <c r="C615" s="64"/>
      <c r="D615" s="64"/>
      <c r="E615" s="64"/>
      <c r="F615" s="66"/>
      <c r="G615" s="64"/>
      <c r="H615" s="64"/>
      <c r="I615" s="157">
        <f>IF(A615="","",SUMIF($D$3:$D$615,"Inflow",$F$3:$F$615)-SUMIF($D$3:$D$615,"Outflow",$F$3:$F$615)+SUM(Bank_Accounts!$E$3:$E$22))</f>
      </c>
      <c r="J615" s="156"/>
      <c r="K615" s="64"/>
    </row>
    <row r="616" spans="1:11" x14ac:dyDescent="0.25">
      <c r="A616" s="65"/>
      <c r="B616" s="64"/>
      <c r="C616" s="64"/>
      <c r="D616" s="64"/>
      <c r="E616" s="64"/>
      <c r="F616" s="66"/>
      <c r="G616" s="64"/>
      <c r="H616" s="64"/>
      <c r="I616" s="157">
        <f>IF(A616="","",SUMIF($D$3:$D$616,"Inflow",$F$3:$F$616)-SUMIF($D$3:$D$616,"Outflow",$F$3:$F$616)+SUM(Bank_Accounts!$E$3:$E$22))</f>
      </c>
      <c r="J616" s="156"/>
      <c r="K616" s="64"/>
    </row>
    <row r="617" spans="1:11" x14ac:dyDescent="0.25">
      <c r="A617" s="65"/>
      <c r="B617" s="64"/>
      <c r="C617" s="64"/>
      <c r="D617" s="64"/>
      <c r="E617" s="64"/>
      <c r="F617" s="66"/>
      <c r="G617" s="64"/>
      <c r="H617" s="64"/>
      <c r="I617" s="157">
        <f>IF(A617="","",SUMIF($D$3:$D$617,"Inflow",$F$3:$F$617)-SUMIF($D$3:$D$617,"Outflow",$F$3:$F$617)+SUM(Bank_Accounts!$E$3:$E$22))</f>
      </c>
      <c r="J617" s="156"/>
      <c r="K617" s="64"/>
    </row>
    <row r="618" spans="1:11" x14ac:dyDescent="0.25">
      <c r="A618" s="65"/>
      <c r="B618" s="64"/>
      <c r="C618" s="64"/>
      <c r="D618" s="64"/>
      <c r="E618" s="64"/>
      <c r="F618" s="66"/>
      <c r="G618" s="64"/>
      <c r="H618" s="64"/>
      <c r="I618" s="157">
        <f>IF(A618="","",SUMIF($D$3:$D$618,"Inflow",$F$3:$F$618)-SUMIF($D$3:$D$618,"Outflow",$F$3:$F$618)+SUM(Bank_Accounts!$E$3:$E$22))</f>
      </c>
      <c r="J618" s="156"/>
      <c r="K618" s="64"/>
    </row>
    <row r="619" spans="1:11" x14ac:dyDescent="0.25">
      <c r="A619" s="65"/>
      <c r="B619" s="64"/>
      <c r="C619" s="64"/>
      <c r="D619" s="64"/>
      <c r="E619" s="64"/>
      <c r="F619" s="66"/>
      <c r="G619" s="64"/>
      <c r="H619" s="64"/>
      <c r="I619" s="157">
        <f>IF(A619="","",SUMIF($D$3:$D$619,"Inflow",$F$3:$F$619)-SUMIF($D$3:$D$619,"Outflow",$F$3:$F$619)+SUM(Bank_Accounts!$E$3:$E$22))</f>
      </c>
      <c r="J619" s="156"/>
      <c r="K619" s="64"/>
    </row>
    <row r="620" spans="1:11" x14ac:dyDescent="0.25">
      <c r="A620" s="65"/>
      <c r="B620" s="64"/>
      <c r="C620" s="64"/>
      <c r="D620" s="64"/>
      <c r="E620" s="64"/>
      <c r="F620" s="66"/>
      <c r="G620" s="64"/>
      <c r="H620" s="64"/>
      <c r="I620" s="157">
        <f>IF(A620="","",SUMIF($D$3:$D$620,"Inflow",$F$3:$F$620)-SUMIF($D$3:$D$620,"Outflow",$F$3:$F$620)+SUM(Bank_Accounts!$E$3:$E$22))</f>
      </c>
      <c r="J620" s="156"/>
      <c r="K620" s="64"/>
    </row>
    <row r="621" spans="1:11" x14ac:dyDescent="0.25">
      <c r="A621" s="65"/>
      <c r="B621" s="64"/>
      <c r="C621" s="64"/>
      <c r="D621" s="64"/>
      <c r="E621" s="64"/>
      <c r="F621" s="66"/>
      <c r="G621" s="64"/>
      <c r="H621" s="64"/>
      <c r="I621" s="157">
        <f>IF(A621="","",SUMIF($D$3:$D$621,"Inflow",$F$3:$F$621)-SUMIF($D$3:$D$621,"Outflow",$F$3:$F$621)+SUM(Bank_Accounts!$E$3:$E$22))</f>
      </c>
      <c r="J621" s="156"/>
      <c r="K621" s="64"/>
    </row>
    <row r="622" spans="1:11" x14ac:dyDescent="0.25">
      <c r="A622" s="65"/>
      <c r="B622" s="64"/>
      <c r="C622" s="64"/>
      <c r="D622" s="64"/>
      <c r="E622" s="64"/>
      <c r="F622" s="66"/>
      <c r="G622" s="64"/>
      <c r="H622" s="64"/>
      <c r="I622" s="157">
        <f>IF(A622="","",SUMIF($D$3:$D$622,"Inflow",$F$3:$F$622)-SUMIF($D$3:$D$622,"Outflow",$F$3:$F$622)+SUM(Bank_Accounts!$E$3:$E$22))</f>
      </c>
      <c r="J622" s="156"/>
      <c r="K622" s="64"/>
    </row>
    <row r="623" spans="1:11" x14ac:dyDescent="0.25">
      <c r="A623" s="65"/>
      <c r="B623" s="64"/>
      <c r="C623" s="64"/>
      <c r="D623" s="64"/>
      <c r="E623" s="64"/>
      <c r="F623" s="66"/>
      <c r="G623" s="64"/>
      <c r="H623" s="64"/>
      <c r="I623" s="157">
        <f>IF(A623="","",SUMIF($D$3:$D$623,"Inflow",$F$3:$F$623)-SUMIF($D$3:$D$623,"Outflow",$F$3:$F$623)+SUM(Bank_Accounts!$E$3:$E$22))</f>
      </c>
      <c r="J623" s="156"/>
      <c r="K623" s="64"/>
    </row>
    <row r="624" spans="1:11" x14ac:dyDescent="0.25">
      <c r="A624" s="65"/>
      <c r="B624" s="64"/>
      <c r="C624" s="64"/>
      <c r="D624" s="64"/>
      <c r="E624" s="64"/>
      <c r="F624" s="66"/>
      <c r="G624" s="64"/>
      <c r="H624" s="64"/>
      <c r="I624" s="157">
        <f>IF(A624="","",SUMIF($D$3:$D$624,"Inflow",$F$3:$F$624)-SUMIF($D$3:$D$624,"Outflow",$F$3:$F$624)+SUM(Bank_Accounts!$E$3:$E$22))</f>
      </c>
      <c r="J624" s="156"/>
      <c r="K624" s="64"/>
    </row>
    <row r="625" spans="1:11" x14ac:dyDescent="0.25">
      <c r="A625" s="65"/>
      <c r="B625" s="64"/>
      <c r="C625" s="64"/>
      <c r="D625" s="64"/>
      <c r="E625" s="64"/>
      <c r="F625" s="66"/>
      <c r="G625" s="64"/>
      <c r="H625" s="64"/>
      <c r="I625" s="157">
        <f>IF(A625="","",SUMIF($D$3:$D$625,"Inflow",$F$3:$F$625)-SUMIF($D$3:$D$625,"Outflow",$F$3:$F$625)+SUM(Bank_Accounts!$E$3:$E$22))</f>
      </c>
      <c r="J625" s="156"/>
      <c r="K625" s="64"/>
    </row>
    <row r="626" spans="1:11" x14ac:dyDescent="0.25">
      <c r="A626" s="65"/>
      <c r="B626" s="64"/>
      <c r="C626" s="64"/>
      <c r="D626" s="64"/>
      <c r="E626" s="64"/>
      <c r="F626" s="66"/>
      <c r="G626" s="64"/>
      <c r="H626" s="64"/>
      <c r="I626" s="157">
        <f>IF(A626="","",SUMIF($D$3:$D$626,"Inflow",$F$3:$F$626)-SUMIF($D$3:$D$626,"Outflow",$F$3:$F$626)+SUM(Bank_Accounts!$E$3:$E$22))</f>
      </c>
      <c r="J626" s="156"/>
      <c r="K626" s="64"/>
    </row>
    <row r="627" spans="1:11" x14ac:dyDescent="0.25">
      <c r="A627" s="65"/>
      <c r="B627" s="64"/>
      <c r="C627" s="64"/>
      <c r="D627" s="64"/>
      <c r="E627" s="64"/>
      <c r="F627" s="66"/>
      <c r="G627" s="64"/>
      <c r="H627" s="64"/>
      <c r="I627" s="157">
        <f>IF(A627="","",SUMIF($D$3:$D$627,"Inflow",$F$3:$F$627)-SUMIF($D$3:$D$627,"Outflow",$F$3:$F$627)+SUM(Bank_Accounts!$E$3:$E$22))</f>
      </c>
      <c r="J627" s="156"/>
      <c r="K627" s="64"/>
    </row>
    <row r="628" spans="1:11" x14ac:dyDescent="0.25">
      <c r="A628" s="65"/>
      <c r="B628" s="64"/>
      <c r="C628" s="64"/>
      <c r="D628" s="64"/>
      <c r="E628" s="64"/>
      <c r="F628" s="66"/>
      <c r="G628" s="64"/>
      <c r="H628" s="64"/>
      <c r="I628" s="157">
        <f>IF(A628="","",SUMIF($D$3:$D$628,"Inflow",$F$3:$F$628)-SUMIF($D$3:$D$628,"Outflow",$F$3:$F$628)+SUM(Bank_Accounts!$E$3:$E$22))</f>
      </c>
      <c r="J628" s="156"/>
      <c r="K628" s="64"/>
    </row>
    <row r="629" spans="1:11" x14ac:dyDescent="0.25">
      <c r="A629" s="65"/>
      <c r="B629" s="64"/>
      <c r="C629" s="64"/>
      <c r="D629" s="64"/>
      <c r="E629" s="64"/>
      <c r="F629" s="66"/>
      <c r="G629" s="64"/>
      <c r="H629" s="64"/>
      <c r="I629" s="157">
        <f>IF(A629="","",SUMIF($D$3:$D$629,"Inflow",$F$3:$F$629)-SUMIF($D$3:$D$629,"Outflow",$F$3:$F$629)+SUM(Bank_Accounts!$E$3:$E$22))</f>
      </c>
      <c r="J629" s="156"/>
      <c r="K629" s="64"/>
    </row>
    <row r="630" spans="1:11" x14ac:dyDescent="0.25">
      <c r="A630" s="65"/>
      <c r="B630" s="64"/>
      <c r="C630" s="64"/>
      <c r="D630" s="64"/>
      <c r="E630" s="64"/>
      <c r="F630" s="66"/>
      <c r="G630" s="64"/>
      <c r="H630" s="64"/>
      <c r="I630" s="157">
        <f>IF(A630="","",SUMIF($D$3:$D$630,"Inflow",$F$3:$F$630)-SUMIF($D$3:$D$630,"Outflow",$F$3:$F$630)+SUM(Bank_Accounts!$E$3:$E$22))</f>
      </c>
      <c r="J630" s="156"/>
      <c r="K630" s="64"/>
    </row>
    <row r="631" spans="1:11" x14ac:dyDescent="0.25">
      <c r="A631" s="65"/>
      <c r="B631" s="64"/>
      <c r="C631" s="64"/>
      <c r="D631" s="64"/>
      <c r="E631" s="64"/>
      <c r="F631" s="66"/>
      <c r="G631" s="64"/>
      <c r="H631" s="64"/>
      <c r="I631" s="157">
        <f>IF(A631="","",SUMIF($D$3:$D$631,"Inflow",$F$3:$F$631)-SUMIF($D$3:$D$631,"Outflow",$F$3:$F$631)+SUM(Bank_Accounts!$E$3:$E$22))</f>
      </c>
      <c r="J631" s="156"/>
      <c r="K631" s="64"/>
    </row>
    <row r="632" spans="1:11" x14ac:dyDescent="0.25">
      <c r="A632" s="65"/>
      <c r="B632" s="64"/>
      <c r="C632" s="64"/>
      <c r="D632" s="64"/>
      <c r="E632" s="64"/>
      <c r="F632" s="66"/>
      <c r="G632" s="64"/>
      <c r="H632" s="64"/>
      <c r="I632" s="157">
        <f>IF(A632="","",SUMIF($D$3:$D$632,"Inflow",$F$3:$F$632)-SUMIF($D$3:$D$632,"Outflow",$F$3:$F$632)+SUM(Bank_Accounts!$E$3:$E$22))</f>
      </c>
      <c r="J632" s="156"/>
      <c r="K632" s="64"/>
    </row>
    <row r="633" spans="1:11" x14ac:dyDescent="0.25">
      <c r="A633" s="65"/>
      <c r="B633" s="64"/>
      <c r="C633" s="64"/>
      <c r="D633" s="64"/>
      <c r="E633" s="64"/>
      <c r="F633" s="66"/>
      <c r="G633" s="64"/>
      <c r="H633" s="64"/>
      <c r="I633" s="157">
        <f>IF(A633="","",SUMIF($D$3:$D$633,"Inflow",$F$3:$F$633)-SUMIF($D$3:$D$633,"Outflow",$F$3:$F$633)+SUM(Bank_Accounts!$E$3:$E$22))</f>
      </c>
      <c r="J633" s="156"/>
      <c r="K633" s="64"/>
    </row>
    <row r="634" spans="1:11" x14ac:dyDescent="0.25">
      <c r="A634" s="65"/>
      <c r="B634" s="64"/>
      <c r="C634" s="64"/>
      <c r="D634" s="64"/>
      <c r="E634" s="64"/>
      <c r="F634" s="66"/>
      <c r="G634" s="64"/>
      <c r="H634" s="64"/>
      <c r="I634" s="157">
        <f>IF(A634="","",SUMIF($D$3:$D$634,"Inflow",$F$3:$F$634)-SUMIF($D$3:$D$634,"Outflow",$F$3:$F$634)+SUM(Bank_Accounts!$E$3:$E$22))</f>
      </c>
      <c r="J634" s="156"/>
      <c r="K634" s="64"/>
    </row>
    <row r="635" spans="1:11" x14ac:dyDescent="0.25">
      <c r="A635" s="65"/>
      <c r="B635" s="64"/>
      <c r="C635" s="64"/>
      <c r="D635" s="64"/>
      <c r="E635" s="64"/>
      <c r="F635" s="66"/>
      <c r="G635" s="64"/>
      <c r="H635" s="64"/>
      <c r="I635" s="157">
        <f>IF(A635="","",SUMIF($D$3:$D$635,"Inflow",$F$3:$F$635)-SUMIF($D$3:$D$635,"Outflow",$F$3:$F$635)+SUM(Bank_Accounts!$E$3:$E$22))</f>
      </c>
      <c r="J635" s="156"/>
      <c r="K635" s="64"/>
    </row>
    <row r="636" spans="1:11" x14ac:dyDescent="0.25">
      <c r="A636" s="65"/>
      <c r="B636" s="64"/>
      <c r="C636" s="64"/>
      <c r="D636" s="64"/>
      <c r="E636" s="64"/>
      <c r="F636" s="66"/>
      <c r="G636" s="64"/>
      <c r="H636" s="64"/>
      <c r="I636" s="157">
        <f>IF(A636="","",SUMIF($D$3:$D$636,"Inflow",$F$3:$F$636)-SUMIF($D$3:$D$636,"Outflow",$F$3:$F$636)+SUM(Bank_Accounts!$E$3:$E$22))</f>
      </c>
      <c r="J636" s="156"/>
      <c r="K636" s="64"/>
    </row>
    <row r="637" spans="1:11" x14ac:dyDescent="0.25">
      <c r="A637" s="65"/>
      <c r="B637" s="64"/>
      <c r="C637" s="64"/>
      <c r="D637" s="64"/>
      <c r="E637" s="64"/>
      <c r="F637" s="66"/>
      <c r="G637" s="64"/>
      <c r="H637" s="64"/>
      <c r="I637" s="157">
        <f>IF(A637="","",SUMIF($D$3:$D$637,"Inflow",$F$3:$F$637)-SUMIF($D$3:$D$637,"Outflow",$F$3:$F$637)+SUM(Bank_Accounts!$E$3:$E$22))</f>
      </c>
      <c r="J637" s="156"/>
      <c r="K637" s="64"/>
    </row>
    <row r="638" spans="1:11" x14ac:dyDescent="0.25">
      <c r="A638" s="65"/>
      <c r="B638" s="64"/>
      <c r="C638" s="64"/>
      <c r="D638" s="64"/>
      <c r="E638" s="64"/>
      <c r="F638" s="66"/>
      <c r="G638" s="64"/>
      <c r="H638" s="64"/>
      <c r="I638" s="157">
        <f>IF(A638="","",SUMIF($D$3:$D$638,"Inflow",$F$3:$F$638)-SUMIF($D$3:$D$638,"Outflow",$F$3:$F$638)+SUM(Bank_Accounts!$E$3:$E$22))</f>
      </c>
      <c r="J638" s="156"/>
      <c r="K638" s="64"/>
    </row>
    <row r="639" spans="1:11" x14ac:dyDescent="0.25">
      <c r="A639" s="65"/>
      <c r="B639" s="64"/>
      <c r="C639" s="64"/>
      <c r="D639" s="64"/>
      <c r="E639" s="64"/>
      <c r="F639" s="66"/>
      <c r="G639" s="64"/>
      <c r="H639" s="64"/>
      <c r="I639" s="157">
        <f>IF(A639="","",SUMIF($D$3:$D$639,"Inflow",$F$3:$F$639)-SUMIF($D$3:$D$639,"Outflow",$F$3:$F$639)+SUM(Bank_Accounts!$E$3:$E$22))</f>
      </c>
      <c r="J639" s="156"/>
      <c r="K639" s="64"/>
    </row>
    <row r="640" spans="1:11" x14ac:dyDescent="0.25">
      <c r="A640" s="65"/>
      <c r="B640" s="64"/>
      <c r="C640" s="64"/>
      <c r="D640" s="64"/>
      <c r="E640" s="64"/>
      <c r="F640" s="66"/>
      <c r="G640" s="64"/>
      <c r="H640" s="64"/>
      <c r="I640" s="157">
        <f>IF(A640="","",SUMIF($D$3:$D$640,"Inflow",$F$3:$F$640)-SUMIF($D$3:$D$640,"Outflow",$F$3:$F$640)+SUM(Bank_Accounts!$E$3:$E$22))</f>
      </c>
      <c r="J640" s="156"/>
      <c r="K640" s="64"/>
    </row>
    <row r="641" spans="1:11" x14ac:dyDescent="0.25">
      <c r="A641" s="65"/>
      <c r="B641" s="64"/>
      <c r="C641" s="64"/>
      <c r="D641" s="64"/>
      <c r="E641" s="64"/>
      <c r="F641" s="66"/>
      <c r="G641" s="64"/>
      <c r="H641" s="64"/>
      <c r="I641" s="157">
        <f>IF(A641="","",SUMIF($D$3:$D$641,"Inflow",$F$3:$F$641)-SUMIF($D$3:$D$641,"Outflow",$F$3:$F$641)+SUM(Bank_Accounts!$E$3:$E$22))</f>
      </c>
      <c r="J641" s="156"/>
      <c r="K641" s="64"/>
    </row>
    <row r="642" spans="1:11" x14ac:dyDescent="0.25">
      <c r="A642" s="65"/>
      <c r="B642" s="64"/>
      <c r="C642" s="64"/>
      <c r="D642" s="64"/>
      <c r="E642" s="64"/>
      <c r="F642" s="66"/>
      <c r="G642" s="64"/>
      <c r="H642" s="64"/>
      <c r="I642" s="157">
        <f>IF(A642="","",SUMIF($D$3:$D$642,"Inflow",$F$3:$F$642)-SUMIF($D$3:$D$642,"Outflow",$F$3:$F$642)+SUM(Bank_Accounts!$E$3:$E$22))</f>
      </c>
      <c r="J642" s="156"/>
      <c r="K642" s="64"/>
    </row>
    <row r="643" spans="1:11" x14ac:dyDescent="0.25">
      <c r="A643" s="65"/>
      <c r="B643" s="64"/>
      <c r="C643" s="64"/>
      <c r="D643" s="64"/>
      <c r="E643" s="64"/>
      <c r="F643" s="66"/>
      <c r="G643" s="64"/>
      <c r="H643" s="64"/>
      <c r="I643" s="157">
        <f>IF(A643="","",SUMIF($D$3:$D$643,"Inflow",$F$3:$F$643)-SUMIF($D$3:$D$643,"Outflow",$F$3:$F$643)+SUM(Bank_Accounts!$E$3:$E$22))</f>
      </c>
      <c r="J643" s="156"/>
      <c r="K643" s="64"/>
    </row>
    <row r="644" spans="1:11" x14ac:dyDescent="0.25">
      <c r="A644" s="65"/>
      <c r="B644" s="64"/>
      <c r="C644" s="64"/>
      <c r="D644" s="64"/>
      <c r="E644" s="64"/>
      <c r="F644" s="66"/>
      <c r="G644" s="64"/>
      <c r="H644" s="64"/>
      <c r="I644" s="157">
        <f>IF(A644="","",SUMIF($D$3:$D$644,"Inflow",$F$3:$F$644)-SUMIF($D$3:$D$644,"Outflow",$F$3:$F$644)+SUM(Bank_Accounts!$E$3:$E$22))</f>
      </c>
      <c r="J644" s="156"/>
      <c r="K644" s="64"/>
    </row>
    <row r="645" spans="1:11" x14ac:dyDescent="0.25">
      <c r="A645" s="65"/>
      <c r="B645" s="64"/>
      <c r="C645" s="64"/>
      <c r="D645" s="64"/>
      <c r="E645" s="64"/>
      <c r="F645" s="66"/>
      <c r="G645" s="64"/>
      <c r="H645" s="64"/>
      <c r="I645" s="157">
        <f>IF(A645="","",SUMIF($D$3:$D$645,"Inflow",$F$3:$F$645)-SUMIF($D$3:$D$645,"Outflow",$F$3:$F$645)+SUM(Bank_Accounts!$E$3:$E$22))</f>
      </c>
      <c r="J645" s="156"/>
      <c r="K645" s="64"/>
    </row>
    <row r="646" spans="1:11" x14ac:dyDescent="0.25">
      <c r="A646" s="65"/>
      <c r="B646" s="64"/>
      <c r="C646" s="64"/>
      <c r="D646" s="64"/>
      <c r="E646" s="64"/>
      <c r="F646" s="66"/>
      <c r="G646" s="64"/>
      <c r="H646" s="64"/>
      <c r="I646" s="157">
        <f>IF(A646="","",SUMIF($D$3:$D$646,"Inflow",$F$3:$F$646)-SUMIF($D$3:$D$646,"Outflow",$F$3:$F$646)+SUM(Bank_Accounts!$E$3:$E$22))</f>
      </c>
      <c r="J646" s="156"/>
      <c r="K646" s="64"/>
    </row>
    <row r="647" spans="1:11" x14ac:dyDescent="0.25">
      <c r="A647" s="65"/>
      <c r="B647" s="64"/>
      <c r="C647" s="64"/>
      <c r="D647" s="64"/>
      <c r="E647" s="64"/>
      <c r="F647" s="66"/>
      <c r="G647" s="64"/>
      <c r="H647" s="64"/>
      <c r="I647" s="157">
        <f>IF(A647="","",SUMIF($D$3:$D$647,"Inflow",$F$3:$F$647)-SUMIF($D$3:$D$647,"Outflow",$F$3:$F$647)+SUM(Bank_Accounts!$E$3:$E$22))</f>
      </c>
      <c r="J647" s="156"/>
      <c r="K647" s="64"/>
    </row>
    <row r="648" spans="1:11" x14ac:dyDescent="0.25">
      <c r="A648" s="65"/>
      <c r="B648" s="64"/>
      <c r="C648" s="64"/>
      <c r="D648" s="64"/>
      <c r="E648" s="64"/>
      <c r="F648" s="66"/>
      <c r="G648" s="64"/>
      <c r="H648" s="64"/>
      <c r="I648" s="157">
        <f>IF(A648="","",SUMIF($D$3:$D$648,"Inflow",$F$3:$F$648)-SUMIF($D$3:$D$648,"Outflow",$F$3:$F$648)+SUM(Bank_Accounts!$E$3:$E$22))</f>
      </c>
      <c r="J648" s="156"/>
      <c r="K648" s="64"/>
    </row>
    <row r="649" spans="1:11" x14ac:dyDescent="0.25">
      <c r="A649" s="65"/>
      <c r="B649" s="64"/>
      <c r="C649" s="64"/>
      <c r="D649" s="64"/>
      <c r="E649" s="64"/>
      <c r="F649" s="66"/>
      <c r="G649" s="64"/>
      <c r="H649" s="64"/>
      <c r="I649" s="157">
        <f>IF(A649="","",SUMIF($D$3:$D$649,"Inflow",$F$3:$F$649)-SUMIF($D$3:$D$649,"Outflow",$F$3:$F$649)+SUM(Bank_Accounts!$E$3:$E$22))</f>
      </c>
      <c r="J649" s="156"/>
      <c r="K649" s="64"/>
    </row>
    <row r="650" spans="1:11" x14ac:dyDescent="0.25">
      <c r="A650" s="65"/>
      <c r="B650" s="64"/>
      <c r="C650" s="64"/>
      <c r="D650" s="64"/>
      <c r="E650" s="64"/>
      <c r="F650" s="66"/>
      <c r="G650" s="64"/>
      <c r="H650" s="64"/>
      <c r="I650" s="157">
        <f>IF(A650="","",SUMIF($D$3:$D$650,"Inflow",$F$3:$F$650)-SUMIF($D$3:$D$650,"Outflow",$F$3:$F$650)+SUM(Bank_Accounts!$E$3:$E$22))</f>
      </c>
      <c r="J650" s="156"/>
      <c r="K650" s="64"/>
    </row>
    <row r="651" spans="1:11" x14ac:dyDescent="0.25">
      <c r="A651" s="65"/>
      <c r="B651" s="64"/>
      <c r="C651" s="64"/>
      <c r="D651" s="64"/>
      <c r="E651" s="64"/>
      <c r="F651" s="66"/>
      <c r="G651" s="64"/>
      <c r="H651" s="64"/>
      <c r="I651" s="157">
        <f>IF(A651="","",SUMIF($D$3:$D$651,"Inflow",$F$3:$F$651)-SUMIF($D$3:$D$651,"Outflow",$F$3:$F$651)+SUM(Bank_Accounts!$E$3:$E$22))</f>
      </c>
      <c r="J651" s="156"/>
      <c r="K651" s="64"/>
    </row>
    <row r="652" spans="1:11" x14ac:dyDescent="0.25">
      <c r="A652" s="65"/>
      <c r="B652" s="64"/>
      <c r="C652" s="64"/>
      <c r="D652" s="64"/>
      <c r="E652" s="64"/>
      <c r="F652" s="66"/>
      <c r="G652" s="64"/>
      <c r="H652" s="64"/>
      <c r="I652" s="157">
        <f>IF(A652="","",SUMIF($D$3:$D$652,"Inflow",$F$3:$F$652)-SUMIF($D$3:$D$652,"Outflow",$F$3:$F$652)+SUM(Bank_Accounts!$E$3:$E$22))</f>
      </c>
      <c r="J652" s="156"/>
      <c r="K652" s="64"/>
    </row>
    <row r="653" spans="1:11" x14ac:dyDescent="0.25">
      <c r="A653" s="65"/>
      <c r="B653" s="64"/>
      <c r="C653" s="64"/>
      <c r="D653" s="64"/>
      <c r="E653" s="64"/>
      <c r="F653" s="66"/>
      <c r="G653" s="64"/>
      <c r="H653" s="64"/>
      <c r="I653" s="157">
        <f>IF(A653="","",SUMIF($D$3:$D$653,"Inflow",$F$3:$F$653)-SUMIF($D$3:$D$653,"Outflow",$F$3:$F$653)+SUM(Bank_Accounts!$E$3:$E$22))</f>
      </c>
      <c r="J653" s="156"/>
      <c r="K653" s="64"/>
    </row>
    <row r="654" spans="1:11" x14ac:dyDescent="0.25">
      <c r="A654" s="65"/>
      <c r="B654" s="64"/>
      <c r="C654" s="64"/>
      <c r="D654" s="64"/>
      <c r="E654" s="64"/>
      <c r="F654" s="66"/>
      <c r="G654" s="64"/>
      <c r="H654" s="64"/>
      <c r="I654" s="157">
        <f>IF(A654="","",SUMIF($D$3:$D$654,"Inflow",$F$3:$F$654)-SUMIF($D$3:$D$654,"Outflow",$F$3:$F$654)+SUM(Bank_Accounts!$E$3:$E$22))</f>
      </c>
      <c r="J654" s="156"/>
      <c r="K654" s="64"/>
    </row>
    <row r="655" spans="1:11" x14ac:dyDescent="0.25">
      <c r="A655" s="65"/>
      <c r="B655" s="64"/>
      <c r="C655" s="64"/>
      <c r="D655" s="64"/>
      <c r="E655" s="64"/>
      <c r="F655" s="66"/>
      <c r="G655" s="64"/>
      <c r="H655" s="64"/>
      <c r="I655" s="157">
        <f>IF(A655="","",SUMIF($D$3:$D$655,"Inflow",$F$3:$F$655)-SUMIF($D$3:$D$655,"Outflow",$F$3:$F$655)+SUM(Bank_Accounts!$E$3:$E$22))</f>
      </c>
      <c r="J655" s="156"/>
      <c r="K655" s="64"/>
    </row>
    <row r="656" spans="1:11" x14ac:dyDescent="0.25">
      <c r="A656" s="65"/>
      <c r="B656" s="64"/>
      <c r="C656" s="64"/>
      <c r="D656" s="64"/>
      <c r="E656" s="64"/>
      <c r="F656" s="66"/>
      <c r="G656" s="64"/>
      <c r="H656" s="64"/>
      <c r="I656" s="157">
        <f>IF(A656="","",SUMIF($D$3:$D$656,"Inflow",$F$3:$F$656)-SUMIF($D$3:$D$656,"Outflow",$F$3:$F$656)+SUM(Bank_Accounts!$E$3:$E$22))</f>
      </c>
      <c r="J656" s="156"/>
      <c r="K656" s="64"/>
    </row>
    <row r="657" spans="1:11" x14ac:dyDescent="0.25">
      <c r="A657" s="65"/>
      <c r="B657" s="64"/>
      <c r="C657" s="64"/>
      <c r="D657" s="64"/>
      <c r="E657" s="64"/>
      <c r="F657" s="66"/>
      <c r="G657" s="64"/>
      <c r="H657" s="64"/>
      <c r="I657" s="157">
        <f>IF(A657="","",SUMIF($D$3:$D$657,"Inflow",$F$3:$F$657)-SUMIF($D$3:$D$657,"Outflow",$F$3:$F$657)+SUM(Bank_Accounts!$E$3:$E$22))</f>
      </c>
      <c r="J657" s="156"/>
      <c r="K657" s="64"/>
    </row>
    <row r="658" spans="1:11" x14ac:dyDescent="0.25">
      <c r="A658" s="65"/>
      <c r="B658" s="64"/>
      <c r="C658" s="64"/>
      <c r="D658" s="64"/>
      <c r="E658" s="64"/>
      <c r="F658" s="66"/>
      <c r="G658" s="64"/>
      <c r="H658" s="64"/>
      <c r="I658" s="157">
        <f>IF(A658="","",SUMIF($D$3:$D$658,"Inflow",$F$3:$F$658)-SUMIF($D$3:$D$658,"Outflow",$F$3:$F$658)+SUM(Bank_Accounts!$E$3:$E$22))</f>
      </c>
      <c r="J658" s="156"/>
      <c r="K658" s="64"/>
    </row>
    <row r="659" spans="1:11" x14ac:dyDescent="0.25">
      <c r="A659" s="65"/>
      <c r="B659" s="64"/>
      <c r="C659" s="64"/>
      <c r="D659" s="64"/>
      <c r="E659" s="64"/>
      <c r="F659" s="66"/>
      <c r="G659" s="64"/>
      <c r="H659" s="64"/>
      <c r="I659" s="157">
        <f>IF(A659="","",SUMIF($D$3:$D$659,"Inflow",$F$3:$F$659)-SUMIF($D$3:$D$659,"Outflow",$F$3:$F$659)+SUM(Bank_Accounts!$E$3:$E$22))</f>
      </c>
      <c r="J659" s="156"/>
      <c r="K659" s="64"/>
    </row>
    <row r="660" spans="1:11" x14ac:dyDescent="0.25">
      <c r="A660" s="65"/>
      <c r="B660" s="64"/>
      <c r="C660" s="64"/>
      <c r="D660" s="64"/>
      <c r="E660" s="64"/>
      <c r="F660" s="66"/>
      <c r="G660" s="64"/>
      <c r="H660" s="64"/>
      <c r="I660" s="157">
        <f>IF(A660="","",SUMIF($D$3:$D$660,"Inflow",$F$3:$F$660)-SUMIF($D$3:$D$660,"Outflow",$F$3:$F$660)+SUM(Bank_Accounts!$E$3:$E$22))</f>
      </c>
      <c r="J660" s="156"/>
      <c r="K660" s="64"/>
    </row>
    <row r="661" spans="1:11" x14ac:dyDescent="0.25">
      <c r="A661" s="65"/>
      <c r="B661" s="64"/>
      <c r="C661" s="64"/>
      <c r="D661" s="64"/>
      <c r="E661" s="64"/>
      <c r="F661" s="66"/>
      <c r="G661" s="64"/>
      <c r="H661" s="64"/>
      <c r="I661" s="157">
        <f>IF(A661="","",SUMIF($D$3:$D$661,"Inflow",$F$3:$F$661)-SUMIF($D$3:$D$661,"Outflow",$F$3:$F$661)+SUM(Bank_Accounts!$E$3:$E$22))</f>
      </c>
      <c r="J661" s="156"/>
      <c r="K661" s="64"/>
    </row>
    <row r="662" spans="1:11" x14ac:dyDescent="0.25">
      <c r="A662" s="65"/>
      <c r="B662" s="64"/>
      <c r="C662" s="64"/>
      <c r="D662" s="64"/>
      <c r="E662" s="64"/>
      <c r="F662" s="66"/>
      <c r="G662" s="64"/>
      <c r="H662" s="64"/>
      <c r="I662" s="157">
        <f>IF(A662="","",SUMIF($D$3:$D$662,"Inflow",$F$3:$F$662)-SUMIF($D$3:$D$662,"Outflow",$F$3:$F$662)+SUM(Bank_Accounts!$E$3:$E$22))</f>
      </c>
      <c r="J662" s="156"/>
      <c r="K662" s="64"/>
    </row>
    <row r="663" spans="1:11" x14ac:dyDescent="0.25">
      <c r="A663" s="65"/>
      <c r="B663" s="64"/>
      <c r="C663" s="64"/>
      <c r="D663" s="64"/>
      <c r="E663" s="64"/>
      <c r="F663" s="66"/>
      <c r="G663" s="64"/>
      <c r="H663" s="64"/>
      <c r="I663" s="157">
        <f>IF(A663="","",SUMIF($D$3:$D$663,"Inflow",$F$3:$F$663)-SUMIF($D$3:$D$663,"Outflow",$F$3:$F$663)+SUM(Bank_Accounts!$E$3:$E$22))</f>
      </c>
      <c r="J663" s="156"/>
      <c r="K663" s="64"/>
    </row>
    <row r="664" spans="1:11" x14ac:dyDescent="0.25">
      <c r="A664" s="65"/>
      <c r="B664" s="64"/>
      <c r="C664" s="64"/>
      <c r="D664" s="64"/>
      <c r="E664" s="64"/>
      <c r="F664" s="66"/>
      <c r="G664" s="64"/>
      <c r="H664" s="64"/>
      <c r="I664" s="157">
        <f>IF(A664="","",SUMIF($D$3:$D$664,"Inflow",$F$3:$F$664)-SUMIF($D$3:$D$664,"Outflow",$F$3:$F$664)+SUM(Bank_Accounts!$E$3:$E$22))</f>
      </c>
      <c r="J664" s="156"/>
      <c r="K664" s="64"/>
    </row>
    <row r="665" spans="1:11" x14ac:dyDescent="0.25">
      <c r="A665" s="65"/>
      <c r="B665" s="64"/>
      <c r="C665" s="64"/>
      <c r="D665" s="64"/>
      <c r="E665" s="64"/>
      <c r="F665" s="66"/>
      <c r="G665" s="64"/>
      <c r="H665" s="64"/>
      <c r="I665" s="157">
        <f>IF(A665="","",SUMIF($D$3:$D$665,"Inflow",$F$3:$F$665)-SUMIF($D$3:$D$665,"Outflow",$F$3:$F$665)+SUM(Bank_Accounts!$E$3:$E$22))</f>
      </c>
      <c r="J665" s="156"/>
      <c r="K665" s="64"/>
    </row>
    <row r="666" spans="1:11" x14ac:dyDescent="0.25">
      <c r="A666" s="65"/>
      <c r="B666" s="64"/>
      <c r="C666" s="64"/>
      <c r="D666" s="64"/>
      <c r="E666" s="64"/>
      <c r="F666" s="66"/>
      <c r="G666" s="64"/>
      <c r="H666" s="64"/>
      <c r="I666" s="157">
        <f>IF(A666="","",SUMIF($D$3:$D$666,"Inflow",$F$3:$F$666)-SUMIF($D$3:$D$666,"Outflow",$F$3:$F$666)+SUM(Bank_Accounts!$E$3:$E$22))</f>
      </c>
      <c r="J666" s="156"/>
      <c r="K666" s="64"/>
    </row>
    <row r="667" spans="1:11" x14ac:dyDescent="0.25">
      <c r="A667" s="65"/>
      <c r="B667" s="64"/>
      <c r="C667" s="64"/>
      <c r="D667" s="64"/>
      <c r="E667" s="64"/>
      <c r="F667" s="66"/>
      <c r="G667" s="64"/>
      <c r="H667" s="64"/>
      <c r="I667" s="157">
        <f>IF(A667="","",SUMIF($D$3:$D$667,"Inflow",$F$3:$F$667)-SUMIF($D$3:$D$667,"Outflow",$F$3:$F$667)+SUM(Bank_Accounts!$E$3:$E$22))</f>
      </c>
      <c r="J667" s="156"/>
      <c r="K667" s="64"/>
    </row>
    <row r="668" spans="1:11" x14ac:dyDescent="0.25">
      <c r="A668" s="65"/>
      <c r="B668" s="64"/>
      <c r="C668" s="64"/>
      <c r="D668" s="64"/>
      <c r="E668" s="64"/>
      <c r="F668" s="66"/>
      <c r="G668" s="64"/>
      <c r="H668" s="64"/>
      <c r="I668" s="157">
        <f>IF(A668="","",SUMIF($D$3:$D$668,"Inflow",$F$3:$F$668)-SUMIF($D$3:$D$668,"Outflow",$F$3:$F$668)+SUM(Bank_Accounts!$E$3:$E$22))</f>
      </c>
      <c r="J668" s="156"/>
      <c r="K668" s="64"/>
    </row>
    <row r="669" spans="1:11" x14ac:dyDescent="0.25">
      <c r="A669" s="65"/>
      <c r="B669" s="64"/>
      <c r="C669" s="64"/>
      <c r="D669" s="64"/>
      <c r="E669" s="64"/>
      <c r="F669" s="66"/>
      <c r="G669" s="64"/>
      <c r="H669" s="64"/>
      <c r="I669" s="157">
        <f>IF(A669="","",SUMIF($D$3:$D$669,"Inflow",$F$3:$F$669)-SUMIF($D$3:$D$669,"Outflow",$F$3:$F$669)+SUM(Bank_Accounts!$E$3:$E$22))</f>
      </c>
      <c r="J669" s="156"/>
      <c r="K669" s="64"/>
    </row>
    <row r="670" spans="1:11" x14ac:dyDescent="0.25">
      <c r="A670" s="65"/>
      <c r="B670" s="64"/>
      <c r="C670" s="64"/>
      <c r="D670" s="64"/>
      <c r="E670" s="64"/>
      <c r="F670" s="66"/>
      <c r="G670" s="64"/>
      <c r="H670" s="64"/>
      <c r="I670" s="157">
        <f>IF(A670="","",SUMIF($D$3:$D$670,"Inflow",$F$3:$F$670)-SUMIF($D$3:$D$670,"Outflow",$F$3:$F$670)+SUM(Bank_Accounts!$E$3:$E$22))</f>
      </c>
      <c r="J670" s="156"/>
      <c r="K670" s="64"/>
    </row>
    <row r="671" spans="1:11" x14ac:dyDescent="0.25">
      <c r="A671" s="65"/>
      <c r="B671" s="64"/>
      <c r="C671" s="64"/>
      <c r="D671" s="64"/>
      <c r="E671" s="64"/>
      <c r="F671" s="66"/>
      <c r="G671" s="64"/>
      <c r="H671" s="64"/>
      <c r="I671" s="157">
        <f>IF(A671="","",SUMIF($D$3:$D$671,"Inflow",$F$3:$F$671)-SUMIF($D$3:$D$671,"Outflow",$F$3:$F$671)+SUM(Bank_Accounts!$E$3:$E$22))</f>
      </c>
      <c r="J671" s="156"/>
      <c r="K671" s="64"/>
    </row>
    <row r="672" spans="1:11" x14ac:dyDescent="0.25">
      <c r="A672" s="65"/>
      <c r="B672" s="64"/>
      <c r="C672" s="64"/>
      <c r="D672" s="64"/>
      <c r="E672" s="64"/>
      <c r="F672" s="66"/>
      <c r="G672" s="64"/>
      <c r="H672" s="64"/>
      <c r="I672" s="157">
        <f>IF(A672="","",SUMIF($D$3:$D$672,"Inflow",$F$3:$F$672)-SUMIF($D$3:$D$672,"Outflow",$F$3:$F$672)+SUM(Bank_Accounts!$E$3:$E$22))</f>
      </c>
      <c r="J672" s="156"/>
      <c r="K672" s="64"/>
    </row>
    <row r="673" spans="1:11" x14ac:dyDescent="0.25">
      <c r="A673" s="65"/>
      <c r="B673" s="64"/>
      <c r="C673" s="64"/>
      <c r="D673" s="64"/>
      <c r="E673" s="64"/>
      <c r="F673" s="66"/>
      <c r="G673" s="64"/>
      <c r="H673" s="64"/>
      <c r="I673" s="157">
        <f>IF(A673="","",SUMIF($D$3:$D$673,"Inflow",$F$3:$F$673)-SUMIF($D$3:$D$673,"Outflow",$F$3:$F$673)+SUM(Bank_Accounts!$E$3:$E$22))</f>
      </c>
      <c r="J673" s="156"/>
      <c r="K673" s="64"/>
    </row>
    <row r="674" spans="1:11" x14ac:dyDescent="0.25">
      <c r="A674" s="65"/>
      <c r="B674" s="64"/>
      <c r="C674" s="64"/>
      <c r="D674" s="64"/>
      <c r="E674" s="64"/>
      <c r="F674" s="66"/>
      <c r="G674" s="64"/>
      <c r="H674" s="64"/>
      <c r="I674" s="157">
        <f>IF(A674="","",SUMIF($D$3:$D$674,"Inflow",$F$3:$F$674)-SUMIF($D$3:$D$674,"Outflow",$F$3:$F$674)+SUM(Bank_Accounts!$E$3:$E$22))</f>
      </c>
      <c r="J674" s="156"/>
      <c r="K674" s="64"/>
    </row>
    <row r="675" spans="1:11" x14ac:dyDescent="0.25">
      <c r="A675" s="65"/>
      <c r="B675" s="64"/>
      <c r="C675" s="64"/>
      <c r="D675" s="64"/>
      <c r="E675" s="64"/>
      <c r="F675" s="66"/>
      <c r="G675" s="64"/>
      <c r="H675" s="64"/>
      <c r="I675" s="157">
        <f>IF(A675="","",SUMIF($D$3:$D$675,"Inflow",$F$3:$F$675)-SUMIF($D$3:$D$675,"Outflow",$F$3:$F$675)+SUM(Bank_Accounts!$E$3:$E$22))</f>
      </c>
      <c r="J675" s="156"/>
      <c r="K675" s="64"/>
    </row>
    <row r="676" spans="1:11" x14ac:dyDescent="0.25">
      <c r="A676" s="65"/>
      <c r="B676" s="64"/>
      <c r="C676" s="64"/>
      <c r="D676" s="64"/>
      <c r="E676" s="64"/>
      <c r="F676" s="66"/>
      <c r="G676" s="64"/>
      <c r="H676" s="64"/>
      <c r="I676" s="157">
        <f>IF(A676="","",SUMIF($D$3:$D$676,"Inflow",$F$3:$F$676)-SUMIF($D$3:$D$676,"Outflow",$F$3:$F$676)+SUM(Bank_Accounts!$E$3:$E$22))</f>
      </c>
      <c r="J676" s="156"/>
      <c r="K676" s="64"/>
    </row>
    <row r="677" spans="1:11" x14ac:dyDescent="0.25">
      <c r="A677" s="65"/>
      <c r="B677" s="64"/>
      <c r="C677" s="64"/>
      <c r="D677" s="64"/>
      <c r="E677" s="64"/>
      <c r="F677" s="66"/>
      <c r="G677" s="64"/>
      <c r="H677" s="64"/>
      <c r="I677" s="157">
        <f>IF(A677="","",SUMIF($D$3:$D$677,"Inflow",$F$3:$F$677)-SUMIF($D$3:$D$677,"Outflow",$F$3:$F$677)+SUM(Bank_Accounts!$E$3:$E$22))</f>
      </c>
      <c r="J677" s="156"/>
      <c r="K677" s="64"/>
    </row>
    <row r="678" spans="1:11" x14ac:dyDescent="0.25">
      <c r="A678" s="65"/>
      <c r="B678" s="64"/>
      <c r="C678" s="64"/>
      <c r="D678" s="64"/>
      <c r="E678" s="64"/>
      <c r="F678" s="66"/>
      <c r="G678" s="64"/>
      <c r="H678" s="64"/>
      <c r="I678" s="157">
        <f>IF(A678="","",SUMIF($D$3:$D$678,"Inflow",$F$3:$F$678)-SUMIF($D$3:$D$678,"Outflow",$F$3:$F$678)+SUM(Bank_Accounts!$E$3:$E$22))</f>
      </c>
      <c r="J678" s="156"/>
      <c r="K678" s="64"/>
    </row>
    <row r="679" spans="1:11" x14ac:dyDescent="0.25">
      <c r="A679" s="65"/>
      <c r="B679" s="64"/>
      <c r="C679" s="64"/>
      <c r="D679" s="64"/>
      <c r="E679" s="64"/>
      <c r="F679" s="66"/>
      <c r="G679" s="64"/>
      <c r="H679" s="64"/>
      <c r="I679" s="157">
        <f>IF(A679="","",SUMIF($D$3:$D$679,"Inflow",$F$3:$F$679)-SUMIF($D$3:$D$679,"Outflow",$F$3:$F$679)+SUM(Bank_Accounts!$E$3:$E$22))</f>
      </c>
      <c r="J679" s="156"/>
      <c r="K679" s="64"/>
    </row>
    <row r="680" spans="1:11" x14ac:dyDescent="0.25">
      <c r="A680" s="65"/>
      <c r="B680" s="64"/>
      <c r="C680" s="64"/>
      <c r="D680" s="64"/>
      <c r="E680" s="64"/>
      <c r="F680" s="66"/>
      <c r="G680" s="64"/>
      <c r="H680" s="64"/>
      <c r="I680" s="157">
        <f>IF(A680="","",SUMIF($D$3:$D$680,"Inflow",$F$3:$F$680)-SUMIF($D$3:$D$680,"Outflow",$F$3:$F$680)+SUM(Bank_Accounts!$E$3:$E$22))</f>
      </c>
      <c r="J680" s="156"/>
      <c r="K680" s="64"/>
    </row>
    <row r="681" spans="1:11" x14ac:dyDescent="0.25">
      <c r="A681" s="65"/>
      <c r="B681" s="64"/>
      <c r="C681" s="64"/>
      <c r="D681" s="64"/>
      <c r="E681" s="64"/>
      <c r="F681" s="66"/>
      <c r="G681" s="64"/>
      <c r="H681" s="64"/>
      <c r="I681" s="157">
        <f>IF(A681="","",SUMIF($D$3:$D$681,"Inflow",$F$3:$F$681)-SUMIF($D$3:$D$681,"Outflow",$F$3:$F$681)+SUM(Bank_Accounts!$E$3:$E$22))</f>
      </c>
      <c r="J681" s="156"/>
      <c r="K681" s="64"/>
    </row>
    <row r="682" spans="1:11" x14ac:dyDescent="0.25">
      <c r="A682" s="65"/>
      <c r="B682" s="64"/>
      <c r="C682" s="64"/>
      <c r="D682" s="64"/>
      <c r="E682" s="64"/>
      <c r="F682" s="66"/>
      <c r="G682" s="64"/>
      <c r="H682" s="64"/>
      <c r="I682" s="157">
        <f>IF(A682="","",SUMIF($D$3:$D$682,"Inflow",$F$3:$F$682)-SUMIF($D$3:$D$682,"Outflow",$F$3:$F$682)+SUM(Bank_Accounts!$E$3:$E$22))</f>
      </c>
      <c r="J682" s="156"/>
      <c r="K682" s="64"/>
    </row>
    <row r="683" spans="1:11" x14ac:dyDescent="0.25">
      <c r="A683" s="65"/>
      <c r="B683" s="64"/>
      <c r="C683" s="64"/>
      <c r="D683" s="64"/>
      <c r="E683" s="64"/>
      <c r="F683" s="66"/>
      <c r="G683" s="64"/>
      <c r="H683" s="64"/>
      <c r="I683" s="157">
        <f>IF(A683="","",SUMIF($D$3:$D$683,"Inflow",$F$3:$F$683)-SUMIF($D$3:$D$683,"Outflow",$F$3:$F$683)+SUM(Bank_Accounts!$E$3:$E$22))</f>
      </c>
      <c r="J683" s="156"/>
      <c r="K683" s="64"/>
    </row>
    <row r="684" spans="1:11" x14ac:dyDescent="0.25">
      <c r="A684" s="65"/>
      <c r="B684" s="64"/>
      <c r="C684" s="64"/>
      <c r="D684" s="64"/>
      <c r="E684" s="64"/>
      <c r="F684" s="66"/>
      <c r="G684" s="64"/>
      <c r="H684" s="64"/>
      <c r="I684" s="157">
        <f>IF(A684="","",SUMIF($D$3:$D$684,"Inflow",$F$3:$F$684)-SUMIF($D$3:$D$684,"Outflow",$F$3:$F$684)+SUM(Bank_Accounts!$E$3:$E$22))</f>
      </c>
      <c r="J684" s="156"/>
      <c r="K684" s="64"/>
    </row>
    <row r="685" spans="1:11" x14ac:dyDescent="0.25">
      <c r="A685" s="65"/>
      <c r="B685" s="64"/>
      <c r="C685" s="64"/>
      <c r="D685" s="64"/>
      <c r="E685" s="64"/>
      <c r="F685" s="66"/>
      <c r="G685" s="64"/>
      <c r="H685" s="64"/>
      <c r="I685" s="157">
        <f>IF(A685="","",SUMIF($D$3:$D$685,"Inflow",$F$3:$F$685)-SUMIF($D$3:$D$685,"Outflow",$F$3:$F$685)+SUM(Bank_Accounts!$E$3:$E$22))</f>
      </c>
      <c r="J685" s="156"/>
      <c r="K685" s="64"/>
    </row>
    <row r="686" spans="1:11" x14ac:dyDescent="0.25">
      <c r="A686" s="65"/>
      <c r="B686" s="64"/>
      <c r="C686" s="64"/>
      <c r="D686" s="64"/>
      <c r="E686" s="64"/>
      <c r="F686" s="66"/>
      <c r="G686" s="64"/>
      <c r="H686" s="64"/>
      <c r="I686" s="157">
        <f>IF(A686="","",SUMIF($D$3:$D$686,"Inflow",$F$3:$F$686)-SUMIF($D$3:$D$686,"Outflow",$F$3:$F$686)+SUM(Bank_Accounts!$E$3:$E$22))</f>
      </c>
      <c r="J686" s="156"/>
      <c r="K686" s="64"/>
    </row>
    <row r="687" spans="1:11" x14ac:dyDescent="0.25">
      <c r="A687" s="65"/>
      <c r="B687" s="64"/>
      <c r="C687" s="64"/>
      <c r="D687" s="64"/>
      <c r="E687" s="64"/>
      <c r="F687" s="66"/>
      <c r="G687" s="64"/>
      <c r="H687" s="64"/>
      <c r="I687" s="157">
        <f>IF(A687="","",SUMIF($D$3:$D$687,"Inflow",$F$3:$F$687)-SUMIF($D$3:$D$687,"Outflow",$F$3:$F$687)+SUM(Bank_Accounts!$E$3:$E$22))</f>
      </c>
      <c r="J687" s="156"/>
      <c r="K687" s="64"/>
    </row>
    <row r="688" spans="1:11" x14ac:dyDescent="0.25">
      <c r="A688" s="65"/>
      <c r="B688" s="64"/>
      <c r="C688" s="64"/>
      <c r="D688" s="64"/>
      <c r="E688" s="64"/>
      <c r="F688" s="66"/>
      <c r="G688" s="64"/>
      <c r="H688" s="64"/>
      <c r="I688" s="157">
        <f>IF(A688="","",SUMIF($D$3:$D$688,"Inflow",$F$3:$F$688)-SUMIF($D$3:$D$688,"Outflow",$F$3:$F$688)+SUM(Bank_Accounts!$E$3:$E$22))</f>
      </c>
      <c r="J688" s="156"/>
      <c r="K688" s="64"/>
    </row>
    <row r="689" spans="1:11" x14ac:dyDescent="0.25">
      <c r="A689" s="65"/>
      <c r="B689" s="64"/>
      <c r="C689" s="64"/>
      <c r="D689" s="64"/>
      <c r="E689" s="64"/>
      <c r="F689" s="66"/>
      <c r="G689" s="64"/>
      <c r="H689" s="64"/>
      <c r="I689" s="157">
        <f>IF(A689="","",SUMIF($D$3:$D$689,"Inflow",$F$3:$F$689)-SUMIF($D$3:$D$689,"Outflow",$F$3:$F$689)+SUM(Bank_Accounts!$E$3:$E$22))</f>
      </c>
      <c r="J689" s="156"/>
      <c r="K689" s="64"/>
    </row>
    <row r="690" spans="1:11" x14ac:dyDescent="0.25">
      <c r="A690" s="65"/>
      <c r="B690" s="64"/>
      <c r="C690" s="64"/>
      <c r="D690" s="64"/>
      <c r="E690" s="64"/>
      <c r="F690" s="66"/>
      <c r="G690" s="64"/>
      <c r="H690" s="64"/>
      <c r="I690" s="157">
        <f>IF(A690="","",SUMIF($D$3:$D$690,"Inflow",$F$3:$F$690)-SUMIF($D$3:$D$690,"Outflow",$F$3:$F$690)+SUM(Bank_Accounts!$E$3:$E$22))</f>
      </c>
      <c r="J690" s="156"/>
      <c r="K690" s="64"/>
    </row>
    <row r="691" spans="1:11" x14ac:dyDescent="0.25">
      <c r="A691" s="65"/>
      <c r="B691" s="64"/>
      <c r="C691" s="64"/>
      <c r="D691" s="64"/>
      <c r="E691" s="64"/>
      <c r="F691" s="66"/>
      <c r="G691" s="64"/>
      <c r="H691" s="64"/>
      <c r="I691" s="157">
        <f>IF(A691="","",SUMIF($D$3:$D$691,"Inflow",$F$3:$F$691)-SUMIF($D$3:$D$691,"Outflow",$F$3:$F$691)+SUM(Bank_Accounts!$E$3:$E$22))</f>
      </c>
      <c r="J691" s="156"/>
      <c r="K691" s="64"/>
    </row>
    <row r="692" spans="1:11" x14ac:dyDescent="0.25">
      <c r="A692" s="65"/>
      <c r="B692" s="64"/>
      <c r="C692" s="64"/>
      <c r="D692" s="64"/>
      <c r="E692" s="64"/>
      <c r="F692" s="66"/>
      <c r="G692" s="64"/>
      <c r="H692" s="64"/>
      <c r="I692" s="157">
        <f>IF(A692="","",SUMIF($D$3:$D$692,"Inflow",$F$3:$F$692)-SUMIF($D$3:$D$692,"Outflow",$F$3:$F$692)+SUM(Bank_Accounts!$E$3:$E$22))</f>
      </c>
      <c r="J692" s="156"/>
      <c r="K692" s="64"/>
    </row>
    <row r="693" spans="1:11" x14ac:dyDescent="0.25">
      <c r="A693" s="65"/>
      <c r="B693" s="64"/>
      <c r="C693" s="64"/>
      <c r="D693" s="64"/>
      <c r="E693" s="64"/>
      <c r="F693" s="66"/>
      <c r="G693" s="64"/>
      <c r="H693" s="64"/>
      <c r="I693" s="157">
        <f>IF(A693="","",SUMIF($D$3:$D$693,"Inflow",$F$3:$F$693)-SUMIF($D$3:$D$693,"Outflow",$F$3:$F$693)+SUM(Bank_Accounts!$E$3:$E$22))</f>
      </c>
      <c r="J693" s="156"/>
      <c r="K693" s="64"/>
    </row>
    <row r="694" spans="1:11" x14ac:dyDescent="0.25">
      <c r="A694" s="65"/>
      <c r="B694" s="64"/>
      <c r="C694" s="64"/>
      <c r="D694" s="64"/>
      <c r="E694" s="64"/>
      <c r="F694" s="66"/>
      <c r="G694" s="64"/>
      <c r="H694" s="64"/>
      <c r="I694" s="157">
        <f>IF(A694="","",SUMIF($D$3:$D$694,"Inflow",$F$3:$F$694)-SUMIF($D$3:$D$694,"Outflow",$F$3:$F$694)+SUM(Bank_Accounts!$E$3:$E$22))</f>
      </c>
      <c r="J694" s="156"/>
      <c r="K694" s="64"/>
    </row>
    <row r="695" spans="1:11" x14ac:dyDescent="0.25">
      <c r="A695" s="65"/>
      <c r="B695" s="64"/>
      <c r="C695" s="64"/>
      <c r="D695" s="64"/>
      <c r="E695" s="64"/>
      <c r="F695" s="66"/>
      <c r="G695" s="64"/>
      <c r="H695" s="64"/>
      <c r="I695" s="157">
        <f>IF(A695="","",SUMIF($D$3:$D$695,"Inflow",$F$3:$F$695)-SUMIF($D$3:$D$695,"Outflow",$F$3:$F$695)+SUM(Bank_Accounts!$E$3:$E$22))</f>
      </c>
      <c r="J695" s="156"/>
      <c r="K695" s="64"/>
    </row>
    <row r="696" spans="1:11" x14ac:dyDescent="0.25">
      <c r="A696" s="65"/>
      <c r="B696" s="64"/>
      <c r="C696" s="64"/>
      <c r="D696" s="64"/>
      <c r="E696" s="64"/>
      <c r="F696" s="66"/>
      <c r="G696" s="64"/>
      <c r="H696" s="64"/>
      <c r="I696" s="157">
        <f>IF(A696="","",SUMIF($D$3:$D$696,"Inflow",$F$3:$F$696)-SUMIF($D$3:$D$696,"Outflow",$F$3:$F$696)+SUM(Bank_Accounts!$E$3:$E$22))</f>
      </c>
      <c r="J696" s="156"/>
      <c r="K696" s="64"/>
    </row>
    <row r="697" spans="1:11" x14ac:dyDescent="0.25">
      <c r="A697" s="65"/>
      <c r="B697" s="64"/>
      <c r="C697" s="64"/>
      <c r="D697" s="64"/>
      <c r="E697" s="64"/>
      <c r="F697" s="66"/>
      <c r="G697" s="64"/>
      <c r="H697" s="64"/>
      <c r="I697" s="157">
        <f>IF(A697="","",SUMIF($D$3:$D$697,"Inflow",$F$3:$F$697)-SUMIF($D$3:$D$697,"Outflow",$F$3:$F$697)+SUM(Bank_Accounts!$E$3:$E$22))</f>
      </c>
      <c r="J697" s="156"/>
      <c r="K697" s="64"/>
    </row>
    <row r="698" spans="1:11" x14ac:dyDescent="0.25">
      <c r="A698" s="65"/>
      <c r="B698" s="64"/>
      <c r="C698" s="64"/>
      <c r="D698" s="64"/>
      <c r="E698" s="64"/>
      <c r="F698" s="66"/>
      <c r="G698" s="64"/>
      <c r="H698" s="64"/>
      <c r="I698" s="157">
        <f>IF(A698="","",SUMIF($D$3:$D$698,"Inflow",$F$3:$F$698)-SUMIF($D$3:$D$698,"Outflow",$F$3:$F$698)+SUM(Bank_Accounts!$E$3:$E$22))</f>
      </c>
      <c r="J698" s="156"/>
      <c r="K698" s="64"/>
    </row>
    <row r="699" spans="1:11" x14ac:dyDescent="0.25">
      <c r="A699" s="65"/>
      <c r="B699" s="64"/>
      <c r="C699" s="64"/>
      <c r="D699" s="64"/>
      <c r="E699" s="64"/>
      <c r="F699" s="66"/>
      <c r="G699" s="64"/>
      <c r="H699" s="64"/>
      <c r="I699" s="157">
        <f>IF(A699="","",SUMIF($D$3:$D$699,"Inflow",$F$3:$F$699)-SUMIF($D$3:$D$699,"Outflow",$F$3:$F$699)+SUM(Bank_Accounts!$E$3:$E$22))</f>
      </c>
      <c r="J699" s="156"/>
      <c r="K699" s="64"/>
    </row>
    <row r="700" spans="1:11" x14ac:dyDescent="0.25">
      <c r="A700" s="65"/>
      <c r="B700" s="64"/>
      <c r="C700" s="64"/>
      <c r="D700" s="64"/>
      <c r="E700" s="64"/>
      <c r="F700" s="66"/>
      <c r="G700" s="64"/>
      <c r="H700" s="64"/>
      <c r="I700" s="157">
        <f>IF(A700="","",SUMIF($D$3:$D$700,"Inflow",$F$3:$F$700)-SUMIF($D$3:$D$700,"Outflow",$F$3:$F$700)+SUM(Bank_Accounts!$E$3:$E$22))</f>
      </c>
      <c r="J700" s="156"/>
      <c r="K700" s="64"/>
    </row>
    <row r="701" spans="1:11" x14ac:dyDescent="0.25">
      <c r="A701" s="65"/>
      <c r="B701" s="64"/>
      <c r="C701" s="64"/>
      <c r="D701" s="64"/>
      <c r="E701" s="64"/>
      <c r="F701" s="66"/>
      <c r="G701" s="64"/>
      <c r="H701" s="64"/>
      <c r="I701" s="157">
        <f>IF(A701="","",SUMIF($D$3:$D$701,"Inflow",$F$3:$F$701)-SUMIF($D$3:$D$701,"Outflow",$F$3:$F$701)+SUM(Bank_Accounts!$E$3:$E$22))</f>
      </c>
      <c r="J701" s="156"/>
      <c r="K701" s="64"/>
    </row>
    <row r="702" spans="1:11" x14ac:dyDescent="0.25">
      <c r="A702" s="65"/>
      <c r="B702" s="64"/>
      <c r="C702" s="64"/>
      <c r="D702" s="64"/>
      <c r="E702" s="64"/>
      <c r="F702" s="66"/>
      <c r="G702" s="64"/>
      <c r="H702" s="64"/>
      <c r="I702" s="157">
        <f>IF(A702="","",SUMIF($D$3:$D$702,"Inflow",$F$3:$F$702)-SUMIF($D$3:$D$702,"Outflow",$F$3:$F$702)+SUM(Bank_Accounts!$E$3:$E$22))</f>
      </c>
      <c r="J702" s="156"/>
      <c r="K702" s="64"/>
    </row>
    <row r="703" spans="1:11" x14ac:dyDescent="0.25">
      <c r="A703" s="65"/>
      <c r="B703" s="64"/>
      <c r="C703" s="64"/>
      <c r="D703" s="64"/>
      <c r="E703" s="64"/>
      <c r="F703" s="66"/>
      <c r="G703" s="64"/>
      <c r="H703" s="64"/>
      <c r="I703" s="157">
        <f>IF(A703="","",SUMIF($D$3:$D$703,"Inflow",$F$3:$F$703)-SUMIF($D$3:$D$703,"Outflow",$F$3:$F$703)+SUM(Bank_Accounts!$E$3:$E$22))</f>
      </c>
      <c r="J703" s="156"/>
      <c r="K703" s="64"/>
    </row>
    <row r="704" spans="1:11" x14ac:dyDescent="0.25">
      <c r="A704" s="65"/>
      <c r="B704" s="64"/>
      <c r="C704" s="64"/>
      <c r="D704" s="64"/>
      <c r="E704" s="64"/>
      <c r="F704" s="66"/>
      <c r="G704" s="64"/>
      <c r="H704" s="64"/>
      <c r="I704" s="157">
        <f>IF(A704="","",SUMIF($D$3:$D$704,"Inflow",$F$3:$F$704)-SUMIF($D$3:$D$704,"Outflow",$F$3:$F$704)+SUM(Bank_Accounts!$E$3:$E$22))</f>
      </c>
      <c r="J704" s="156"/>
      <c r="K704" s="64"/>
    </row>
    <row r="705" spans="1:11" x14ac:dyDescent="0.25">
      <c r="A705" s="65"/>
      <c r="B705" s="64"/>
      <c r="C705" s="64"/>
      <c r="D705" s="64"/>
      <c r="E705" s="64"/>
      <c r="F705" s="66"/>
      <c r="G705" s="64"/>
      <c r="H705" s="64"/>
      <c r="I705" s="157">
        <f>IF(A705="","",SUMIF($D$3:$D$705,"Inflow",$F$3:$F$705)-SUMIF($D$3:$D$705,"Outflow",$F$3:$F$705)+SUM(Bank_Accounts!$E$3:$E$22))</f>
      </c>
      <c r="J705" s="156"/>
      <c r="K705" s="64"/>
    </row>
    <row r="706" spans="1:11" x14ac:dyDescent="0.25">
      <c r="A706" s="65"/>
      <c r="B706" s="64"/>
      <c r="C706" s="64"/>
      <c r="D706" s="64"/>
      <c r="E706" s="64"/>
      <c r="F706" s="66"/>
      <c r="G706" s="64"/>
      <c r="H706" s="64"/>
      <c r="I706" s="157">
        <f>IF(A706="","",SUMIF($D$3:$D$706,"Inflow",$F$3:$F$706)-SUMIF($D$3:$D$706,"Outflow",$F$3:$F$706)+SUM(Bank_Accounts!$E$3:$E$22))</f>
      </c>
      <c r="J706" s="156"/>
      <c r="K706" s="64"/>
    </row>
    <row r="707" spans="1:11" x14ac:dyDescent="0.25">
      <c r="A707" s="65"/>
      <c r="B707" s="64"/>
      <c r="C707" s="64"/>
      <c r="D707" s="64"/>
      <c r="E707" s="64"/>
      <c r="F707" s="66"/>
      <c r="G707" s="64"/>
      <c r="H707" s="64"/>
      <c r="I707" s="157">
        <f>IF(A707="","",SUMIF($D$3:$D$707,"Inflow",$F$3:$F$707)-SUMIF($D$3:$D$707,"Outflow",$F$3:$F$707)+SUM(Bank_Accounts!$E$3:$E$22))</f>
      </c>
      <c r="J707" s="156"/>
      <c r="K707" s="64"/>
    </row>
    <row r="708" spans="1:11" x14ac:dyDescent="0.25">
      <c r="A708" s="65"/>
      <c r="B708" s="64"/>
      <c r="C708" s="64"/>
      <c r="D708" s="64"/>
      <c r="E708" s="64"/>
      <c r="F708" s="66"/>
      <c r="G708" s="64"/>
      <c r="H708" s="64"/>
      <c r="I708" s="157">
        <f>IF(A708="","",SUMIF($D$3:$D$708,"Inflow",$F$3:$F$708)-SUMIF($D$3:$D$708,"Outflow",$F$3:$F$708)+SUM(Bank_Accounts!$E$3:$E$22))</f>
      </c>
      <c r="J708" s="156"/>
      <c r="K708" s="64"/>
    </row>
    <row r="709" spans="1:11" x14ac:dyDescent="0.25">
      <c r="A709" s="65"/>
      <c r="B709" s="64"/>
      <c r="C709" s="64"/>
      <c r="D709" s="64"/>
      <c r="E709" s="64"/>
      <c r="F709" s="66"/>
      <c r="G709" s="64"/>
      <c r="H709" s="64"/>
      <c r="I709" s="157">
        <f>IF(A709="","",SUMIF($D$3:$D$709,"Inflow",$F$3:$F$709)-SUMIF($D$3:$D$709,"Outflow",$F$3:$F$709)+SUM(Bank_Accounts!$E$3:$E$22))</f>
      </c>
      <c r="J709" s="156"/>
      <c r="K709" s="64"/>
    </row>
    <row r="710" spans="1:11" x14ac:dyDescent="0.25">
      <c r="A710" s="65"/>
      <c r="B710" s="64"/>
      <c r="C710" s="64"/>
      <c r="D710" s="64"/>
      <c r="E710" s="64"/>
      <c r="F710" s="66"/>
      <c r="G710" s="64"/>
      <c r="H710" s="64"/>
      <c r="I710" s="157">
        <f>IF(A710="","",SUMIF($D$3:$D$710,"Inflow",$F$3:$F$710)-SUMIF($D$3:$D$710,"Outflow",$F$3:$F$710)+SUM(Bank_Accounts!$E$3:$E$22))</f>
      </c>
      <c r="J710" s="156"/>
      <c r="K710" s="64"/>
    </row>
    <row r="711" spans="1:11" x14ac:dyDescent="0.25">
      <c r="A711" s="65"/>
      <c r="B711" s="64"/>
      <c r="C711" s="64"/>
      <c r="D711" s="64"/>
      <c r="E711" s="64"/>
      <c r="F711" s="66"/>
      <c r="G711" s="64"/>
      <c r="H711" s="64"/>
      <c r="I711" s="157">
        <f>IF(A711="","",SUMIF($D$3:$D$711,"Inflow",$F$3:$F$711)-SUMIF($D$3:$D$711,"Outflow",$F$3:$F$711)+SUM(Bank_Accounts!$E$3:$E$22))</f>
      </c>
      <c r="J711" s="156"/>
      <c r="K711" s="64"/>
    </row>
    <row r="712" spans="1:11" x14ac:dyDescent="0.25">
      <c r="A712" s="65"/>
      <c r="B712" s="64"/>
      <c r="C712" s="64"/>
      <c r="D712" s="64"/>
      <c r="E712" s="64"/>
      <c r="F712" s="66"/>
      <c r="G712" s="64"/>
      <c r="H712" s="64"/>
      <c r="I712" s="157">
        <f>IF(A712="","",SUMIF($D$3:$D$712,"Inflow",$F$3:$F$712)-SUMIF($D$3:$D$712,"Outflow",$F$3:$F$712)+SUM(Bank_Accounts!$E$3:$E$22))</f>
      </c>
      <c r="J712" s="156"/>
      <c r="K712" s="64"/>
    </row>
    <row r="713" spans="1:11" x14ac:dyDescent="0.25">
      <c r="A713" s="65"/>
      <c r="B713" s="64"/>
      <c r="C713" s="64"/>
      <c r="D713" s="64"/>
      <c r="E713" s="64"/>
      <c r="F713" s="66"/>
      <c r="G713" s="64"/>
      <c r="H713" s="64"/>
      <c r="I713" s="157">
        <f>IF(A713="","",SUMIF($D$3:$D$713,"Inflow",$F$3:$F$713)-SUMIF($D$3:$D$713,"Outflow",$F$3:$F$713)+SUM(Bank_Accounts!$E$3:$E$22))</f>
      </c>
      <c r="J713" s="156"/>
      <c r="K713" s="64"/>
    </row>
    <row r="714" spans="1:11" x14ac:dyDescent="0.25">
      <c r="A714" s="65"/>
      <c r="B714" s="64"/>
      <c r="C714" s="64"/>
      <c r="D714" s="64"/>
      <c r="E714" s="64"/>
      <c r="F714" s="66"/>
      <c r="G714" s="64"/>
      <c r="H714" s="64"/>
      <c r="I714" s="157">
        <f>IF(A714="","",SUMIF($D$3:$D$714,"Inflow",$F$3:$F$714)-SUMIF($D$3:$D$714,"Outflow",$F$3:$F$714)+SUM(Bank_Accounts!$E$3:$E$22))</f>
      </c>
      <c r="J714" s="156"/>
      <c r="K714" s="64"/>
    </row>
    <row r="715" spans="1:11" x14ac:dyDescent="0.25">
      <c r="A715" s="65"/>
      <c r="B715" s="64"/>
      <c r="C715" s="64"/>
      <c r="D715" s="64"/>
      <c r="E715" s="64"/>
      <c r="F715" s="66"/>
      <c r="G715" s="64"/>
      <c r="H715" s="64"/>
      <c r="I715" s="157">
        <f>IF(A715="","",SUMIF($D$3:$D$715,"Inflow",$F$3:$F$715)-SUMIF($D$3:$D$715,"Outflow",$F$3:$F$715)+SUM(Bank_Accounts!$E$3:$E$22))</f>
      </c>
      <c r="J715" s="156"/>
      <c r="K715" s="64"/>
    </row>
    <row r="716" spans="1:11" x14ac:dyDescent="0.25">
      <c r="A716" s="65"/>
      <c r="B716" s="64"/>
      <c r="C716" s="64"/>
      <c r="D716" s="64"/>
      <c r="E716" s="64"/>
      <c r="F716" s="66"/>
      <c r="G716" s="64"/>
      <c r="H716" s="64"/>
      <c r="I716" s="157">
        <f>IF(A716="","",SUMIF($D$3:$D$716,"Inflow",$F$3:$F$716)-SUMIF($D$3:$D$716,"Outflow",$F$3:$F$716)+SUM(Bank_Accounts!$E$3:$E$22))</f>
      </c>
      <c r="J716" s="156"/>
      <c r="K716" s="64"/>
    </row>
    <row r="717" spans="1:11" x14ac:dyDescent="0.25">
      <c r="A717" s="65"/>
      <c r="B717" s="64"/>
      <c r="C717" s="64"/>
      <c r="D717" s="64"/>
      <c r="E717" s="64"/>
      <c r="F717" s="66"/>
      <c r="G717" s="64"/>
      <c r="H717" s="64"/>
      <c r="I717" s="157">
        <f>IF(A717="","",SUMIF($D$3:$D$717,"Inflow",$F$3:$F$717)-SUMIF($D$3:$D$717,"Outflow",$F$3:$F$717)+SUM(Bank_Accounts!$E$3:$E$22))</f>
      </c>
      <c r="J717" s="156"/>
      <c r="K717" s="64"/>
    </row>
    <row r="718" spans="1:11" x14ac:dyDescent="0.25">
      <c r="A718" s="65"/>
      <c r="B718" s="64"/>
      <c r="C718" s="64"/>
      <c r="D718" s="64"/>
      <c r="E718" s="64"/>
      <c r="F718" s="66"/>
      <c r="G718" s="64"/>
      <c r="H718" s="64"/>
      <c r="I718" s="157">
        <f>IF(A718="","",SUMIF($D$3:$D$718,"Inflow",$F$3:$F$718)-SUMIF($D$3:$D$718,"Outflow",$F$3:$F$718)+SUM(Bank_Accounts!$E$3:$E$22))</f>
      </c>
      <c r="J718" s="156"/>
      <c r="K718" s="64"/>
    </row>
    <row r="719" spans="1:11" x14ac:dyDescent="0.25">
      <c r="A719" s="65"/>
      <c r="B719" s="64"/>
      <c r="C719" s="64"/>
      <c r="D719" s="64"/>
      <c r="E719" s="64"/>
      <c r="F719" s="66"/>
      <c r="G719" s="64"/>
      <c r="H719" s="64"/>
      <c r="I719" s="157">
        <f>IF(A719="","",SUMIF($D$3:$D$719,"Inflow",$F$3:$F$719)-SUMIF($D$3:$D$719,"Outflow",$F$3:$F$719)+SUM(Bank_Accounts!$E$3:$E$22))</f>
      </c>
      <c r="J719" s="156"/>
      <c r="K719" s="64"/>
    </row>
    <row r="720" spans="1:11" x14ac:dyDescent="0.25">
      <c r="A720" s="65"/>
      <c r="B720" s="64"/>
      <c r="C720" s="64"/>
      <c r="D720" s="64"/>
      <c r="E720" s="64"/>
      <c r="F720" s="66"/>
      <c r="G720" s="64"/>
      <c r="H720" s="64"/>
      <c r="I720" s="157">
        <f>IF(A720="","",SUMIF($D$3:$D$720,"Inflow",$F$3:$F$720)-SUMIF($D$3:$D$720,"Outflow",$F$3:$F$720)+SUM(Bank_Accounts!$E$3:$E$22))</f>
      </c>
      <c r="J720" s="156"/>
      <c r="K720" s="64"/>
    </row>
    <row r="721" spans="1:11" x14ac:dyDescent="0.25">
      <c r="A721" s="65"/>
      <c r="B721" s="64"/>
      <c r="C721" s="64"/>
      <c r="D721" s="64"/>
      <c r="E721" s="64"/>
      <c r="F721" s="66"/>
      <c r="G721" s="64"/>
      <c r="H721" s="64"/>
      <c r="I721" s="157">
        <f>IF(A721="","",SUMIF($D$3:$D$721,"Inflow",$F$3:$F$721)-SUMIF($D$3:$D$721,"Outflow",$F$3:$F$721)+SUM(Bank_Accounts!$E$3:$E$22))</f>
      </c>
      <c r="J721" s="156"/>
      <c r="K721" s="64"/>
    </row>
    <row r="722" spans="1:11" x14ac:dyDescent="0.25">
      <c r="A722" s="65"/>
      <c r="B722" s="64"/>
      <c r="C722" s="64"/>
      <c r="D722" s="64"/>
      <c r="E722" s="64"/>
      <c r="F722" s="66"/>
      <c r="G722" s="64"/>
      <c r="H722" s="64"/>
      <c r="I722" s="157">
        <f>IF(A722="","",SUMIF($D$3:$D$722,"Inflow",$F$3:$F$722)-SUMIF($D$3:$D$722,"Outflow",$F$3:$F$722)+SUM(Bank_Accounts!$E$3:$E$22))</f>
      </c>
      <c r="J722" s="156"/>
      <c r="K722" s="64"/>
    </row>
    <row r="723" spans="1:11" x14ac:dyDescent="0.25">
      <c r="A723" s="65"/>
      <c r="B723" s="64"/>
      <c r="C723" s="64"/>
      <c r="D723" s="64"/>
      <c r="E723" s="64"/>
      <c r="F723" s="66"/>
      <c r="G723" s="64"/>
      <c r="H723" s="64"/>
      <c r="I723" s="157">
        <f>IF(A723="","",SUMIF($D$3:$D$723,"Inflow",$F$3:$F$723)-SUMIF($D$3:$D$723,"Outflow",$F$3:$F$723)+SUM(Bank_Accounts!$E$3:$E$22))</f>
      </c>
      <c r="J723" s="156"/>
      <c r="K723" s="64"/>
    </row>
    <row r="724" spans="1:11" x14ac:dyDescent="0.25">
      <c r="A724" s="65"/>
      <c r="B724" s="64"/>
      <c r="C724" s="64"/>
      <c r="D724" s="64"/>
      <c r="E724" s="64"/>
      <c r="F724" s="66"/>
      <c r="G724" s="64"/>
      <c r="H724" s="64"/>
      <c r="I724" s="157">
        <f>IF(A724="","",SUMIF($D$3:$D$724,"Inflow",$F$3:$F$724)-SUMIF($D$3:$D$724,"Outflow",$F$3:$F$724)+SUM(Bank_Accounts!$E$3:$E$22))</f>
      </c>
      <c r="J724" s="156"/>
      <c r="K724" s="64"/>
    </row>
    <row r="725" spans="1:11" x14ac:dyDescent="0.25">
      <c r="A725" s="65"/>
      <c r="B725" s="64"/>
      <c r="C725" s="64"/>
      <c r="D725" s="64"/>
      <c r="E725" s="64"/>
      <c r="F725" s="66"/>
      <c r="G725" s="64"/>
      <c r="H725" s="64"/>
      <c r="I725" s="157">
        <f>IF(A725="","",SUMIF($D$3:$D$725,"Inflow",$F$3:$F$725)-SUMIF($D$3:$D$725,"Outflow",$F$3:$F$725)+SUM(Bank_Accounts!$E$3:$E$22))</f>
      </c>
      <c r="J725" s="156"/>
      <c r="K725" s="64"/>
    </row>
    <row r="726" spans="1:11" x14ac:dyDescent="0.25">
      <c r="A726" s="65"/>
      <c r="B726" s="64"/>
      <c r="C726" s="64"/>
      <c r="D726" s="64"/>
      <c r="E726" s="64"/>
      <c r="F726" s="66"/>
      <c r="G726" s="64"/>
      <c r="H726" s="64"/>
      <c r="I726" s="157">
        <f>IF(A726="","",SUMIF($D$3:$D$726,"Inflow",$F$3:$F$726)-SUMIF($D$3:$D$726,"Outflow",$F$3:$F$726)+SUM(Bank_Accounts!$E$3:$E$22))</f>
      </c>
      <c r="J726" s="156"/>
      <c r="K726" s="64"/>
    </row>
    <row r="727" spans="1:11" x14ac:dyDescent="0.25">
      <c r="A727" s="65"/>
      <c r="B727" s="64"/>
      <c r="C727" s="64"/>
      <c r="D727" s="64"/>
      <c r="E727" s="64"/>
      <c r="F727" s="66"/>
      <c r="G727" s="64"/>
      <c r="H727" s="64"/>
      <c r="I727" s="157">
        <f>IF(A727="","",SUMIF($D$3:$D$727,"Inflow",$F$3:$F$727)-SUMIF($D$3:$D$727,"Outflow",$F$3:$F$727)+SUM(Bank_Accounts!$E$3:$E$22))</f>
      </c>
      <c r="J727" s="156"/>
      <c r="K727" s="64"/>
    </row>
    <row r="728" spans="1:11" x14ac:dyDescent="0.25">
      <c r="A728" s="65"/>
      <c r="B728" s="64"/>
      <c r="C728" s="64"/>
      <c r="D728" s="64"/>
      <c r="E728" s="64"/>
      <c r="F728" s="66"/>
      <c r="G728" s="64"/>
      <c r="H728" s="64"/>
      <c r="I728" s="157">
        <f>IF(A728="","",SUMIF($D$3:$D$728,"Inflow",$F$3:$F$728)-SUMIF($D$3:$D$728,"Outflow",$F$3:$F$728)+SUM(Bank_Accounts!$E$3:$E$22))</f>
      </c>
      <c r="J728" s="156"/>
      <c r="K728" s="64"/>
    </row>
    <row r="729" spans="1:11" x14ac:dyDescent="0.25">
      <c r="A729" s="65"/>
      <c r="B729" s="64"/>
      <c r="C729" s="64"/>
      <c r="D729" s="64"/>
      <c r="E729" s="64"/>
      <c r="F729" s="66"/>
      <c r="G729" s="64"/>
      <c r="H729" s="64"/>
      <c r="I729" s="157">
        <f>IF(A729="","",SUMIF($D$3:$D$729,"Inflow",$F$3:$F$729)-SUMIF($D$3:$D$729,"Outflow",$F$3:$F$729)+SUM(Bank_Accounts!$E$3:$E$22))</f>
      </c>
      <c r="J729" s="156"/>
      <c r="K729" s="64"/>
    </row>
    <row r="730" spans="1:11" x14ac:dyDescent="0.25">
      <c r="A730" s="65"/>
      <c r="B730" s="64"/>
      <c r="C730" s="64"/>
      <c r="D730" s="64"/>
      <c r="E730" s="64"/>
      <c r="F730" s="66"/>
      <c r="G730" s="64"/>
      <c r="H730" s="64"/>
      <c r="I730" s="157">
        <f>IF(A730="","",SUMIF($D$3:$D$730,"Inflow",$F$3:$F$730)-SUMIF($D$3:$D$730,"Outflow",$F$3:$F$730)+SUM(Bank_Accounts!$E$3:$E$22))</f>
      </c>
      <c r="J730" s="156"/>
      <c r="K730" s="64"/>
    </row>
    <row r="731" spans="1:11" x14ac:dyDescent="0.25">
      <c r="A731" s="65"/>
      <c r="B731" s="64"/>
      <c r="C731" s="64"/>
      <c r="D731" s="64"/>
      <c r="E731" s="64"/>
      <c r="F731" s="66"/>
      <c r="G731" s="64"/>
      <c r="H731" s="64"/>
      <c r="I731" s="157">
        <f>IF(A731="","",SUMIF($D$3:$D$731,"Inflow",$F$3:$F$731)-SUMIF($D$3:$D$731,"Outflow",$F$3:$F$731)+SUM(Bank_Accounts!$E$3:$E$22))</f>
      </c>
      <c r="J731" s="156"/>
      <c r="K731" s="64"/>
    </row>
    <row r="732" spans="1:11" x14ac:dyDescent="0.25">
      <c r="A732" s="65"/>
      <c r="B732" s="64"/>
      <c r="C732" s="64"/>
      <c r="D732" s="64"/>
      <c r="E732" s="64"/>
      <c r="F732" s="66"/>
      <c r="G732" s="64"/>
      <c r="H732" s="64"/>
      <c r="I732" s="157">
        <f>IF(A732="","",SUMIF($D$3:$D$732,"Inflow",$F$3:$F$732)-SUMIF($D$3:$D$732,"Outflow",$F$3:$F$732)+SUM(Bank_Accounts!$E$3:$E$22))</f>
      </c>
      <c r="J732" s="156"/>
      <c r="K732" s="64"/>
    </row>
    <row r="733" spans="1:11" x14ac:dyDescent="0.25">
      <c r="A733" s="65"/>
      <c r="B733" s="64"/>
      <c r="C733" s="64"/>
      <c r="D733" s="64"/>
      <c r="E733" s="64"/>
      <c r="F733" s="66"/>
      <c r="G733" s="64"/>
      <c r="H733" s="64"/>
      <c r="I733" s="157">
        <f>IF(A733="","",SUMIF($D$3:$D$733,"Inflow",$F$3:$F$733)-SUMIF($D$3:$D$733,"Outflow",$F$3:$F$733)+SUM(Bank_Accounts!$E$3:$E$22))</f>
      </c>
      <c r="J733" s="156"/>
      <c r="K733" s="64"/>
    </row>
    <row r="734" spans="1:11" x14ac:dyDescent="0.25">
      <c r="A734" s="65"/>
      <c r="B734" s="64"/>
      <c r="C734" s="64"/>
      <c r="D734" s="64"/>
      <c r="E734" s="64"/>
      <c r="F734" s="66"/>
      <c r="G734" s="64"/>
      <c r="H734" s="64"/>
      <c r="I734" s="157">
        <f>IF(A734="","",SUMIF($D$3:$D$734,"Inflow",$F$3:$F$734)-SUMIF($D$3:$D$734,"Outflow",$F$3:$F$734)+SUM(Bank_Accounts!$E$3:$E$22))</f>
      </c>
      <c r="J734" s="156"/>
      <c r="K734" s="64"/>
    </row>
    <row r="735" spans="1:11" x14ac:dyDescent="0.25">
      <c r="A735" s="65"/>
      <c r="B735" s="64"/>
      <c r="C735" s="64"/>
      <c r="D735" s="64"/>
      <c r="E735" s="64"/>
      <c r="F735" s="66"/>
      <c r="G735" s="64"/>
      <c r="H735" s="64"/>
      <c r="I735" s="157">
        <f>IF(A735="","",SUMIF($D$3:$D$735,"Inflow",$F$3:$F$735)-SUMIF($D$3:$D$735,"Outflow",$F$3:$F$735)+SUM(Bank_Accounts!$E$3:$E$22))</f>
      </c>
      <c r="J735" s="156"/>
      <c r="K735" s="64"/>
    </row>
    <row r="736" spans="1:11" x14ac:dyDescent="0.25">
      <c r="A736" s="65"/>
      <c r="B736" s="64"/>
      <c r="C736" s="64"/>
      <c r="D736" s="64"/>
      <c r="E736" s="64"/>
      <c r="F736" s="66"/>
      <c r="G736" s="64"/>
      <c r="H736" s="64"/>
      <c r="I736" s="157">
        <f>IF(A736="","",SUMIF($D$3:$D$736,"Inflow",$F$3:$F$736)-SUMIF($D$3:$D$736,"Outflow",$F$3:$F$736)+SUM(Bank_Accounts!$E$3:$E$22))</f>
      </c>
      <c r="J736" s="156"/>
      <c r="K736" s="64"/>
    </row>
    <row r="737" spans="1:11" x14ac:dyDescent="0.25">
      <c r="A737" s="65"/>
      <c r="B737" s="64"/>
      <c r="C737" s="64"/>
      <c r="D737" s="64"/>
      <c r="E737" s="64"/>
      <c r="F737" s="66"/>
      <c r="G737" s="64"/>
      <c r="H737" s="64"/>
      <c r="I737" s="157">
        <f>IF(A737="","",SUMIF($D$3:$D$737,"Inflow",$F$3:$F$737)-SUMIF($D$3:$D$737,"Outflow",$F$3:$F$737)+SUM(Bank_Accounts!$E$3:$E$22))</f>
      </c>
      <c r="J737" s="156"/>
      <c r="K737" s="64"/>
    </row>
    <row r="738" spans="1:11" x14ac:dyDescent="0.25">
      <c r="A738" s="65"/>
      <c r="B738" s="64"/>
      <c r="C738" s="64"/>
      <c r="D738" s="64"/>
      <c r="E738" s="64"/>
      <c r="F738" s="66"/>
      <c r="G738" s="64"/>
      <c r="H738" s="64"/>
      <c r="I738" s="157">
        <f>IF(A738="","",SUMIF($D$3:$D$738,"Inflow",$F$3:$F$738)-SUMIF($D$3:$D$738,"Outflow",$F$3:$F$738)+SUM(Bank_Accounts!$E$3:$E$22))</f>
      </c>
      <c r="J738" s="156"/>
      <c r="K738" s="64"/>
    </row>
    <row r="739" spans="1:11" x14ac:dyDescent="0.25">
      <c r="A739" s="65"/>
      <c r="B739" s="64"/>
      <c r="C739" s="64"/>
      <c r="D739" s="64"/>
      <c r="E739" s="64"/>
      <c r="F739" s="66"/>
      <c r="G739" s="64"/>
      <c r="H739" s="64"/>
      <c r="I739" s="157">
        <f>IF(A739="","",SUMIF($D$3:$D$739,"Inflow",$F$3:$F$739)-SUMIF($D$3:$D$739,"Outflow",$F$3:$F$739)+SUM(Bank_Accounts!$E$3:$E$22))</f>
      </c>
      <c r="J739" s="156"/>
      <c r="K739" s="64"/>
    </row>
    <row r="740" spans="1:11" x14ac:dyDescent="0.25">
      <c r="A740" s="65"/>
      <c r="B740" s="64"/>
      <c r="C740" s="64"/>
      <c r="D740" s="64"/>
      <c r="E740" s="64"/>
      <c r="F740" s="66"/>
      <c r="G740" s="64"/>
      <c r="H740" s="64"/>
      <c r="I740" s="157">
        <f>IF(A740="","",SUMIF($D$3:$D$740,"Inflow",$F$3:$F$740)-SUMIF($D$3:$D$740,"Outflow",$F$3:$F$740)+SUM(Bank_Accounts!$E$3:$E$22))</f>
      </c>
      <c r="J740" s="156"/>
      <c r="K740" s="64"/>
    </row>
    <row r="741" spans="1:11" x14ac:dyDescent="0.25">
      <c r="A741" s="65"/>
      <c r="B741" s="64"/>
      <c r="C741" s="64"/>
      <c r="D741" s="64"/>
      <c r="E741" s="64"/>
      <c r="F741" s="66"/>
      <c r="G741" s="64"/>
      <c r="H741" s="64"/>
      <c r="I741" s="157">
        <f>IF(A741="","",SUMIF($D$3:$D$741,"Inflow",$F$3:$F$741)-SUMIF($D$3:$D$741,"Outflow",$F$3:$F$741)+SUM(Bank_Accounts!$E$3:$E$22))</f>
      </c>
      <c r="J741" s="156"/>
      <c r="K741" s="64"/>
    </row>
    <row r="742" spans="1:11" x14ac:dyDescent="0.25">
      <c r="A742" s="65"/>
      <c r="B742" s="64"/>
      <c r="C742" s="64"/>
      <c r="D742" s="64"/>
      <c r="E742" s="64"/>
      <c r="F742" s="66"/>
      <c r="G742" s="64"/>
      <c r="H742" s="64"/>
      <c r="I742" s="157">
        <f>IF(A742="","",SUMIF($D$3:$D$742,"Inflow",$F$3:$F$742)-SUMIF($D$3:$D$742,"Outflow",$F$3:$F$742)+SUM(Bank_Accounts!$E$3:$E$22))</f>
      </c>
      <c r="J742" s="156"/>
      <c r="K742" s="64"/>
    </row>
    <row r="743" spans="1:11" x14ac:dyDescent="0.25">
      <c r="A743" s="65"/>
      <c r="B743" s="64"/>
      <c r="C743" s="64"/>
      <c r="D743" s="64"/>
      <c r="E743" s="64"/>
      <c r="F743" s="66"/>
      <c r="G743" s="64"/>
      <c r="H743" s="64"/>
      <c r="I743" s="157">
        <f>IF(A743="","",SUMIF($D$3:$D$743,"Inflow",$F$3:$F$743)-SUMIF($D$3:$D$743,"Outflow",$F$3:$F$743)+SUM(Bank_Accounts!$E$3:$E$22))</f>
      </c>
      <c r="J743" s="156"/>
      <c r="K743" s="64"/>
    </row>
    <row r="744" spans="1:11" x14ac:dyDescent="0.25">
      <c r="A744" s="65"/>
      <c r="B744" s="64"/>
      <c r="C744" s="64"/>
      <c r="D744" s="64"/>
      <c r="E744" s="64"/>
      <c r="F744" s="66"/>
      <c r="G744" s="64"/>
      <c r="H744" s="64"/>
      <c r="I744" s="157">
        <f>IF(A744="","",SUMIF($D$3:$D$744,"Inflow",$F$3:$F$744)-SUMIF($D$3:$D$744,"Outflow",$F$3:$F$744)+SUM(Bank_Accounts!$E$3:$E$22))</f>
      </c>
      <c r="J744" s="156"/>
      <c r="K744" s="64"/>
    </row>
    <row r="745" spans="1:11" x14ac:dyDescent="0.25">
      <c r="A745" s="65"/>
      <c r="B745" s="64"/>
      <c r="C745" s="64"/>
      <c r="D745" s="64"/>
      <c r="E745" s="64"/>
      <c r="F745" s="66"/>
      <c r="G745" s="64"/>
      <c r="H745" s="64"/>
      <c r="I745" s="157">
        <f>IF(A745="","",SUMIF($D$3:$D$745,"Inflow",$F$3:$F$745)-SUMIF($D$3:$D$745,"Outflow",$F$3:$F$745)+SUM(Bank_Accounts!$E$3:$E$22))</f>
      </c>
      <c r="J745" s="156"/>
      <c r="K745" s="64"/>
    </row>
    <row r="746" spans="1:11" x14ac:dyDescent="0.25">
      <c r="A746" s="65"/>
      <c r="B746" s="64"/>
      <c r="C746" s="64"/>
      <c r="D746" s="64"/>
      <c r="E746" s="64"/>
      <c r="F746" s="66"/>
      <c r="G746" s="64"/>
      <c r="H746" s="64"/>
      <c r="I746" s="157">
        <f>IF(A746="","",SUMIF($D$3:$D$746,"Inflow",$F$3:$F$746)-SUMIF($D$3:$D$746,"Outflow",$F$3:$F$746)+SUM(Bank_Accounts!$E$3:$E$22))</f>
      </c>
      <c r="J746" s="156"/>
      <c r="K746" s="64"/>
    </row>
    <row r="747" spans="1:11" x14ac:dyDescent="0.25">
      <c r="A747" s="65"/>
      <c r="B747" s="64"/>
      <c r="C747" s="64"/>
      <c r="D747" s="64"/>
      <c r="E747" s="64"/>
      <c r="F747" s="66"/>
      <c r="G747" s="64"/>
      <c r="H747" s="64"/>
      <c r="I747" s="157">
        <f>IF(A747="","",SUMIF($D$3:$D$747,"Inflow",$F$3:$F$747)-SUMIF($D$3:$D$747,"Outflow",$F$3:$F$747)+SUM(Bank_Accounts!$E$3:$E$22))</f>
      </c>
      <c r="J747" s="156"/>
      <c r="K747" s="64"/>
    </row>
    <row r="748" spans="1:11" x14ac:dyDescent="0.25">
      <c r="A748" s="65"/>
      <c r="B748" s="64"/>
      <c r="C748" s="64"/>
      <c r="D748" s="64"/>
      <c r="E748" s="64"/>
      <c r="F748" s="66"/>
      <c r="G748" s="64"/>
      <c r="H748" s="64"/>
      <c r="I748" s="157">
        <f>IF(A748="","",SUMIF($D$3:$D$748,"Inflow",$F$3:$F$748)-SUMIF($D$3:$D$748,"Outflow",$F$3:$F$748)+SUM(Bank_Accounts!$E$3:$E$22))</f>
      </c>
      <c r="J748" s="156"/>
      <c r="K748" s="64"/>
    </row>
    <row r="749" spans="1:11" x14ac:dyDescent="0.25">
      <c r="A749" s="65"/>
      <c r="B749" s="64"/>
      <c r="C749" s="64"/>
      <c r="D749" s="64"/>
      <c r="E749" s="64"/>
      <c r="F749" s="66"/>
      <c r="G749" s="64"/>
      <c r="H749" s="64"/>
      <c r="I749" s="157">
        <f>IF(A749="","",SUMIF($D$3:$D$749,"Inflow",$F$3:$F$749)-SUMIF($D$3:$D$749,"Outflow",$F$3:$F$749)+SUM(Bank_Accounts!$E$3:$E$22))</f>
      </c>
      <c r="J749" s="156"/>
      <c r="K749" s="64"/>
    </row>
    <row r="750" spans="1:11" x14ac:dyDescent="0.25">
      <c r="A750" s="65"/>
      <c r="B750" s="64"/>
      <c r="C750" s="64"/>
      <c r="D750" s="64"/>
      <c r="E750" s="64"/>
      <c r="F750" s="66"/>
      <c r="G750" s="64"/>
      <c r="H750" s="64"/>
      <c r="I750" s="157">
        <f>IF(A750="","",SUMIF($D$3:$D$750,"Inflow",$F$3:$F$750)-SUMIF($D$3:$D$750,"Outflow",$F$3:$F$750)+SUM(Bank_Accounts!$E$3:$E$22))</f>
      </c>
      <c r="J750" s="156"/>
      <c r="K750" s="64"/>
    </row>
    <row r="751" spans="1:11" x14ac:dyDescent="0.25">
      <c r="A751" s="65"/>
      <c r="B751" s="64"/>
      <c r="C751" s="64"/>
      <c r="D751" s="64"/>
      <c r="E751" s="64"/>
      <c r="F751" s="66"/>
      <c r="G751" s="64"/>
      <c r="H751" s="64"/>
      <c r="I751" s="157">
        <f>IF(A751="","",SUMIF($D$3:$D$751,"Inflow",$F$3:$F$751)-SUMIF($D$3:$D$751,"Outflow",$F$3:$F$751)+SUM(Bank_Accounts!$E$3:$E$22))</f>
      </c>
      <c r="J751" s="156"/>
      <c r="K751" s="64"/>
    </row>
    <row r="752" spans="1:11" x14ac:dyDescent="0.25">
      <c r="A752" s="65"/>
      <c r="B752" s="64"/>
      <c r="C752" s="64"/>
      <c r="D752" s="64"/>
      <c r="E752" s="64"/>
      <c r="F752" s="66"/>
      <c r="G752" s="64"/>
      <c r="H752" s="64"/>
      <c r="I752" s="157">
        <f>IF(A752="","",SUMIF($D$3:$D$752,"Inflow",$F$3:$F$752)-SUMIF($D$3:$D$752,"Outflow",$F$3:$F$752)+SUM(Bank_Accounts!$E$3:$E$22))</f>
      </c>
      <c r="J752" s="156"/>
      <c r="K752" s="64"/>
    </row>
    <row r="753" spans="1:11" x14ac:dyDescent="0.25">
      <c r="A753" s="65"/>
      <c r="B753" s="64"/>
      <c r="C753" s="64"/>
      <c r="D753" s="64"/>
      <c r="E753" s="64"/>
      <c r="F753" s="66"/>
      <c r="G753" s="64"/>
      <c r="H753" s="64"/>
      <c r="I753" s="157">
        <f>IF(A753="","",SUMIF($D$3:$D$753,"Inflow",$F$3:$F$753)-SUMIF($D$3:$D$753,"Outflow",$F$3:$F$753)+SUM(Bank_Accounts!$E$3:$E$22))</f>
      </c>
      <c r="J753" s="156"/>
      <c r="K753" s="64"/>
    </row>
    <row r="754" spans="1:11" x14ac:dyDescent="0.25">
      <c r="A754" s="65"/>
      <c r="B754" s="64"/>
      <c r="C754" s="64"/>
      <c r="D754" s="64"/>
      <c r="E754" s="64"/>
      <c r="F754" s="66"/>
      <c r="G754" s="64"/>
      <c r="H754" s="64"/>
      <c r="I754" s="157">
        <f>IF(A754="","",SUMIF($D$3:$D$754,"Inflow",$F$3:$F$754)-SUMIF($D$3:$D$754,"Outflow",$F$3:$F$754)+SUM(Bank_Accounts!$E$3:$E$22))</f>
      </c>
      <c r="J754" s="156"/>
      <c r="K754" s="64"/>
    </row>
    <row r="755" spans="1:11" x14ac:dyDescent="0.25">
      <c r="A755" s="65"/>
      <c r="B755" s="64"/>
      <c r="C755" s="64"/>
      <c r="D755" s="64"/>
      <c r="E755" s="64"/>
      <c r="F755" s="66"/>
      <c r="G755" s="64"/>
      <c r="H755" s="64"/>
      <c r="I755" s="157">
        <f>IF(A755="","",SUMIF($D$3:$D$755,"Inflow",$F$3:$F$755)-SUMIF($D$3:$D$755,"Outflow",$F$3:$F$755)+SUM(Bank_Accounts!$E$3:$E$22))</f>
      </c>
      <c r="J755" s="156"/>
      <c r="K755" s="64"/>
    </row>
    <row r="756" spans="1:11" x14ac:dyDescent="0.25">
      <c r="A756" s="65"/>
      <c r="B756" s="64"/>
      <c r="C756" s="64"/>
      <c r="D756" s="64"/>
      <c r="E756" s="64"/>
      <c r="F756" s="66"/>
      <c r="G756" s="64"/>
      <c r="H756" s="64"/>
      <c r="I756" s="157">
        <f>IF(A756="","",SUMIF($D$3:$D$756,"Inflow",$F$3:$F$756)-SUMIF($D$3:$D$756,"Outflow",$F$3:$F$756)+SUM(Bank_Accounts!$E$3:$E$22))</f>
      </c>
      <c r="J756" s="156"/>
      <c r="K756" s="64"/>
    </row>
    <row r="757" spans="1:11" x14ac:dyDescent="0.25">
      <c r="A757" s="65"/>
      <c r="B757" s="64"/>
      <c r="C757" s="64"/>
      <c r="D757" s="64"/>
      <c r="E757" s="64"/>
      <c r="F757" s="66"/>
      <c r="G757" s="64"/>
      <c r="H757" s="64"/>
      <c r="I757" s="157">
        <f>IF(A757="","",SUMIF($D$3:$D$757,"Inflow",$F$3:$F$757)-SUMIF($D$3:$D$757,"Outflow",$F$3:$F$757)+SUM(Bank_Accounts!$E$3:$E$22))</f>
      </c>
      <c r="J757" s="156"/>
      <c r="K757" s="64"/>
    </row>
    <row r="758" spans="1:11" x14ac:dyDescent="0.25">
      <c r="A758" s="65"/>
      <c r="B758" s="64"/>
      <c r="C758" s="64"/>
      <c r="D758" s="64"/>
      <c r="E758" s="64"/>
      <c r="F758" s="66"/>
      <c r="G758" s="64"/>
      <c r="H758" s="64"/>
      <c r="I758" s="157">
        <f>IF(A758="","",SUMIF($D$3:$D$758,"Inflow",$F$3:$F$758)-SUMIF($D$3:$D$758,"Outflow",$F$3:$F$758)+SUM(Bank_Accounts!$E$3:$E$22))</f>
      </c>
      <c r="J758" s="156"/>
      <c r="K758" s="64"/>
    </row>
    <row r="759" spans="1:11" x14ac:dyDescent="0.25">
      <c r="A759" s="65"/>
      <c r="B759" s="64"/>
      <c r="C759" s="64"/>
      <c r="D759" s="64"/>
      <c r="E759" s="64"/>
      <c r="F759" s="66"/>
      <c r="G759" s="64"/>
      <c r="H759" s="64"/>
      <c r="I759" s="157">
        <f>IF(A759="","",SUMIF($D$3:$D$759,"Inflow",$F$3:$F$759)-SUMIF($D$3:$D$759,"Outflow",$F$3:$F$759)+SUM(Bank_Accounts!$E$3:$E$22))</f>
      </c>
      <c r="J759" s="156"/>
      <c r="K759" s="64"/>
    </row>
    <row r="760" spans="1:11" x14ac:dyDescent="0.25">
      <c r="A760" s="65"/>
      <c r="B760" s="64"/>
      <c r="C760" s="64"/>
      <c r="D760" s="64"/>
      <c r="E760" s="64"/>
      <c r="F760" s="66"/>
      <c r="G760" s="64"/>
      <c r="H760" s="64"/>
      <c r="I760" s="157">
        <f>IF(A760="","",SUMIF($D$3:$D$760,"Inflow",$F$3:$F$760)-SUMIF($D$3:$D$760,"Outflow",$F$3:$F$760)+SUM(Bank_Accounts!$E$3:$E$22))</f>
      </c>
      <c r="J760" s="156"/>
      <c r="K760" s="64"/>
    </row>
    <row r="761" spans="1:11" x14ac:dyDescent="0.25">
      <c r="A761" s="65"/>
      <c r="B761" s="64"/>
      <c r="C761" s="64"/>
      <c r="D761" s="64"/>
      <c r="E761" s="64"/>
      <c r="F761" s="66"/>
      <c r="G761" s="64"/>
      <c r="H761" s="64"/>
      <c r="I761" s="157">
        <f>IF(A761="","",SUMIF($D$3:$D$761,"Inflow",$F$3:$F$761)-SUMIF($D$3:$D$761,"Outflow",$F$3:$F$761)+SUM(Bank_Accounts!$E$3:$E$22))</f>
      </c>
      <c r="J761" s="156"/>
      <c r="K761" s="64"/>
    </row>
    <row r="762" spans="1:11" x14ac:dyDescent="0.25">
      <c r="A762" s="65"/>
      <c r="B762" s="64"/>
      <c r="C762" s="64"/>
      <c r="D762" s="64"/>
      <c r="E762" s="64"/>
      <c r="F762" s="66"/>
      <c r="G762" s="64"/>
      <c r="H762" s="64"/>
      <c r="I762" s="157">
        <f>IF(A762="","",SUMIF($D$3:$D$762,"Inflow",$F$3:$F$762)-SUMIF($D$3:$D$762,"Outflow",$F$3:$F$762)+SUM(Bank_Accounts!$E$3:$E$22))</f>
      </c>
      <c r="J762" s="156"/>
      <c r="K762" s="64"/>
    </row>
    <row r="763" spans="1:11" x14ac:dyDescent="0.25">
      <c r="A763" s="65"/>
      <c r="B763" s="64"/>
      <c r="C763" s="64"/>
      <c r="D763" s="64"/>
      <c r="E763" s="64"/>
      <c r="F763" s="66"/>
      <c r="G763" s="64"/>
      <c r="H763" s="64"/>
      <c r="I763" s="157">
        <f>IF(A763="","",SUMIF($D$3:$D$763,"Inflow",$F$3:$F$763)-SUMIF($D$3:$D$763,"Outflow",$F$3:$F$763)+SUM(Bank_Accounts!$E$3:$E$22))</f>
      </c>
      <c r="J763" s="156"/>
      <c r="K763" s="64"/>
    </row>
    <row r="764" spans="1:11" x14ac:dyDescent="0.25">
      <c r="A764" s="65"/>
      <c r="B764" s="64"/>
      <c r="C764" s="64"/>
      <c r="D764" s="64"/>
      <c r="E764" s="64"/>
      <c r="F764" s="66"/>
      <c r="G764" s="64"/>
      <c r="H764" s="64"/>
      <c r="I764" s="157">
        <f>IF(A764="","",SUMIF($D$3:$D$764,"Inflow",$F$3:$F$764)-SUMIF($D$3:$D$764,"Outflow",$F$3:$F$764)+SUM(Bank_Accounts!$E$3:$E$22))</f>
      </c>
      <c r="J764" s="156"/>
      <c r="K764" s="64"/>
    </row>
    <row r="765" spans="1:11" x14ac:dyDescent="0.25">
      <c r="A765" s="65"/>
      <c r="B765" s="64"/>
      <c r="C765" s="64"/>
      <c r="D765" s="64"/>
      <c r="E765" s="64"/>
      <c r="F765" s="66"/>
      <c r="G765" s="64"/>
      <c r="H765" s="64"/>
      <c r="I765" s="157">
        <f>IF(A765="","",SUMIF($D$3:$D$765,"Inflow",$F$3:$F$765)-SUMIF($D$3:$D$765,"Outflow",$F$3:$F$765)+SUM(Bank_Accounts!$E$3:$E$22))</f>
      </c>
      <c r="J765" s="156"/>
      <c r="K765" s="64"/>
    </row>
    <row r="766" spans="1:11" x14ac:dyDescent="0.25">
      <c r="A766" s="65"/>
      <c r="B766" s="64"/>
      <c r="C766" s="64"/>
      <c r="D766" s="64"/>
      <c r="E766" s="64"/>
      <c r="F766" s="66"/>
      <c r="G766" s="64"/>
      <c r="H766" s="64"/>
      <c r="I766" s="157">
        <f>IF(A766="","",SUMIF($D$3:$D$766,"Inflow",$F$3:$F$766)-SUMIF($D$3:$D$766,"Outflow",$F$3:$F$766)+SUM(Bank_Accounts!$E$3:$E$22))</f>
      </c>
      <c r="J766" s="156"/>
      <c r="K766" s="64"/>
    </row>
    <row r="767" spans="1:11" x14ac:dyDescent="0.25">
      <c r="A767" s="65"/>
      <c r="B767" s="64"/>
      <c r="C767" s="64"/>
      <c r="D767" s="64"/>
      <c r="E767" s="64"/>
      <c r="F767" s="66"/>
      <c r="G767" s="64"/>
      <c r="H767" s="64"/>
      <c r="I767" s="157">
        <f>IF(A767="","",SUMIF($D$3:$D$767,"Inflow",$F$3:$F$767)-SUMIF($D$3:$D$767,"Outflow",$F$3:$F$767)+SUM(Bank_Accounts!$E$3:$E$22))</f>
      </c>
      <c r="J767" s="156"/>
      <c r="K767" s="64"/>
    </row>
    <row r="768" spans="1:11" x14ac:dyDescent="0.25">
      <c r="A768" s="65"/>
      <c r="B768" s="64"/>
      <c r="C768" s="64"/>
      <c r="D768" s="64"/>
      <c r="E768" s="64"/>
      <c r="F768" s="66"/>
      <c r="G768" s="64"/>
      <c r="H768" s="64"/>
      <c r="I768" s="157">
        <f>IF(A768="","",SUMIF($D$3:$D$768,"Inflow",$F$3:$F$768)-SUMIF($D$3:$D$768,"Outflow",$F$3:$F$768)+SUM(Bank_Accounts!$E$3:$E$22))</f>
      </c>
      <c r="J768" s="156"/>
      <c r="K768" s="64"/>
    </row>
    <row r="769" spans="1:11" x14ac:dyDescent="0.25">
      <c r="A769" s="65"/>
      <c r="B769" s="64"/>
      <c r="C769" s="64"/>
      <c r="D769" s="64"/>
      <c r="E769" s="64"/>
      <c r="F769" s="66"/>
      <c r="G769" s="64"/>
      <c r="H769" s="64"/>
      <c r="I769" s="157">
        <f>IF(A769="","",SUMIF($D$3:$D$769,"Inflow",$F$3:$F$769)-SUMIF($D$3:$D$769,"Outflow",$F$3:$F$769)+SUM(Bank_Accounts!$E$3:$E$22))</f>
      </c>
      <c r="J769" s="156"/>
      <c r="K769" s="64"/>
    </row>
    <row r="770" spans="1:11" x14ac:dyDescent="0.25">
      <c r="A770" s="65"/>
      <c r="B770" s="64"/>
      <c r="C770" s="64"/>
      <c r="D770" s="64"/>
      <c r="E770" s="64"/>
      <c r="F770" s="66"/>
      <c r="G770" s="64"/>
      <c r="H770" s="64"/>
      <c r="I770" s="157">
        <f>IF(A770="","",SUMIF($D$3:$D$770,"Inflow",$F$3:$F$770)-SUMIF($D$3:$D$770,"Outflow",$F$3:$F$770)+SUM(Bank_Accounts!$E$3:$E$22))</f>
      </c>
      <c r="J770" s="156"/>
      <c r="K770" s="64"/>
    </row>
    <row r="771" spans="1:11" x14ac:dyDescent="0.25">
      <c r="A771" s="65"/>
      <c r="B771" s="64"/>
      <c r="C771" s="64"/>
      <c r="D771" s="64"/>
      <c r="E771" s="64"/>
      <c r="F771" s="66"/>
      <c r="G771" s="64"/>
      <c r="H771" s="64"/>
      <c r="I771" s="157">
        <f>IF(A771="","",SUMIF($D$3:$D$771,"Inflow",$F$3:$F$771)-SUMIF($D$3:$D$771,"Outflow",$F$3:$F$771)+SUM(Bank_Accounts!$E$3:$E$22))</f>
      </c>
      <c r="J771" s="156"/>
      <c r="K771" s="64"/>
    </row>
    <row r="772" spans="1:11" x14ac:dyDescent="0.25">
      <c r="A772" s="65"/>
      <c r="B772" s="64"/>
      <c r="C772" s="64"/>
      <c r="D772" s="64"/>
      <c r="E772" s="64"/>
      <c r="F772" s="66"/>
      <c r="G772" s="64"/>
      <c r="H772" s="64"/>
      <c r="I772" s="157">
        <f>IF(A772="","",SUMIF($D$3:$D$772,"Inflow",$F$3:$F$772)-SUMIF($D$3:$D$772,"Outflow",$F$3:$F$772)+SUM(Bank_Accounts!$E$3:$E$22))</f>
      </c>
      <c r="J772" s="156"/>
      <c r="K772" s="64"/>
    </row>
    <row r="773" spans="1:11" x14ac:dyDescent="0.25">
      <c r="A773" s="65"/>
      <c r="B773" s="64"/>
      <c r="C773" s="64"/>
      <c r="D773" s="64"/>
      <c r="E773" s="64"/>
      <c r="F773" s="66"/>
      <c r="G773" s="64"/>
      <c r="H773" s="64"/>
      <c r="I773" s="157">
        <f>IF(A773="","",SUMIF($D$3:$D$773,"Inflow",$F$3:$F$773)-SUMIF($D$3:$D$773,"Outflow",$F$3:$F$773)+SUM(Bank_Accounts!$E$3:$E$22))</f>
      </c>
      <c r="J773" s="156"/>
      <c r="K773" s="64"/>
    </row>
    <row r="774" spans="1:11" x14ac:dyDescent="0.25">
      <c r="A774" s="65"/>
      <c r="B774" s="64"/>
      <c r="C774" s="64"/>
      <c r="D774" s="64"/>
      <c r="E774" s="64"/>
      <c r="F774" s="66"/>
      <c r="G774" s="64"/>
      <c r="H774" s="64"/>
      <c r="I774" s="157">
        <f>IF(A774="","",SUMIF($D$3:$D$774,"Inflow",$F$3:$F$774)-SUMIF($D$3:$D$774,"Outflow",$F$3:$F$774)+SUM(Bank_Accounts!$E$3:$E$22))</f>
      </c>
      <c r="J774" s="156"/>
      <c r="K774" s="64"/>
    </row>
    <row r="775" spans="1:11" x14ac:dyDescent="0.25">
      <c r="A775" s="65"/>
      <c r="B775" s="64"/>
      <c r="C775" s="64"/>
      <c r="D775" s="64"/>
      <c r="E775" s="64"/>
      <c r="F775" s="66"/>
      <c r="G775" s="64"/>
      <c r="H775" s="64"/>
      <c r="I775" s="157">
        <f>IF(A775="","",SUMIF($D$3:$D$775,"Inflow",$F$3:$F$775)-SUMIF($D$3:$D$775,"Outflow",$F$3:$F$775)+SUM(Bank_Accounts!$E$3:$E$22))</f>
      </c>
      <c r="J775" s="156"/>
      <c r="K775" s="64"/>
    </row>
    <row r="776" spans="1:11" x14ac:dyDescent="0.25">
      <c r="A776" s="65"/>
      <c r="B776" s="64"/>
      <c r="C776" s="64"/>
      <c r="D776" s="64"/>
      <c r="E776" s="64"/>
      <c r="F776" s="66"/>
      <c r="G776" s="64"/>
      <c r="H776" s="64"/>
      <c r="I776" s="157">
        <f>IF(A776="","",SUMIF($D$3:$D$776,"Inflow",$F$3:$F$776)-SUMIF($D$3:$D$776,"Outflow",$F$3:$F$776)+SUM(Bank_Accounts!$E$3:$E$22))</f>
      </c>
      <c r="J776" s="156"/>
      <c r="K776" s="64"/>
    </row>
    <row r="777" spans="1:11" x14ac:dyDescent="0.25">
      <c r="A777" s="65"/>
      <c r="B777" s="64"/>
      <c r="C777" s="64"/>
      <c r="D777" s="64"/>
      <c r="E777" s="64"/>
      <c r="F777" s="66"/>
      <c r="G777" s="64"/>
      <c r="H777" s="64"/>
      <c r="I777" s="157">
        <f>IF(A777="","",SUMIF($D$3:$D$777,"Inflow",$F$3:$F$777)-SUMIF($D$3:$D$777,"Outflow",$F$3:$F$777)+SUM(Bank_Accounts!$E$3:$E$22))</f>
      </c>
      <c r="J777" s="156"/>
      <c r="K777" s="64"/>
    </row>
    <row r="778" spans="1:11" x14ac:dyDescent="0.25">
      <c r="A778" s="65"/>
      <c r="B778" s="64"/>
      <c r="C778" s="64"/>
      <c r="D778" s="64"/>
      <c r="E778" s="64"/>
      <c r="F778" s="66"/>
      <c r="G778" s="64"/>
      <c r="H778" s="64"/>
      <c r="I778" s="157">
        <f>IF(A778="","",SUMIF($D$3:$D$778,"Inflow",$F$3:$F$778)-SUMIF($D$3:$D$778,"Outflow",$F$3:$F$778)+SUM(Bank_Accounts!$E$3:$E$22))</f>
      </c>
      <c r="J778" s="156"/>
      <c r="K778" s="64"/>
    </row>
    <row r="779" spans="1:11" x14ac:dyDescent="0.25">
      <c r="A779" s="65"/>
      <c r="B779" s="64"/>
      <c r="C779" s="64"/>
      <c r="D779" s="64"/>
      <c r="E779" s="64"/>
      <c r="F779" s="66"/>
      <c r="G779" s="64"/>
      <c r="H779" s="64"/>
      <c r="I779" s="157">
        <f>IF(A779="","",SUMIF($D$3:$D$779,"Inflow",$F$3:$F$779)-SUMIF($D$3:$D$779,"Outflow",$F$3:$F$779)+SUM(Bank_Accounts!$E$3:$E$22))</f>
      </c>
      <c r="J779" s="156"/>
      <c r="K779" s="64"/>
    </row>
    <row r="780" spans="1:11" x14ac:dyDescent="0.25">
      <c r="A780" s="65"/>
      <c r="B780" s="64"/>
      <c r="C780" s="64"/>
      <c r="D780" s="64"/>
      <c r="E780" s="64"/>
      <c r="F780" s="66"/>
      <c r="G780" s="64"/>
      <c r="H780" s="64"/>
      <c r="I780" s="157">
        <f>IF(A780="","",SUMIF($D$3:$D$780,"Inflow",$F$3:$F$780)-SUMIF($D$3:$D$780,"Outflow",$F$3:$F$780)+SUM(Bank_Accounts!$E$3:$E$22))</f>
      </c>
      <c r="J780" s="156"/>
      <c r="K780" s="64"/>
    </row>
    <row r="781" spans="1:11" x14ac:dyDescent="0.25">
      <c r="A781" s="65"/>
      <c r="B781" s="64"/>
      <c r="C781" s="64"/>
      <c r="D781" s="64"/>
      <c r="E781" s="64"/>
      <c r="F781" s="66"/>
      <c r="G781" s="64"/>
      <c r="H781" s="64"/>
      <c r="I781" s="157">
        <f>IF(A781="","",SUMIF($D$3:$D$781,"Inflow",$F$3:$F$781)-SUMIF($D$3:$D$781,"Outflow",$F$3:$F$781)+SUM(Bank_Accounts!$E$3:$E$22))</f>
      </c>
      <c r="J781" s="156"/>
      <c r="K781" s="64"/>
    </row>
    <row r="782" spans="1:11" x14ac:dyDescent="0.25">
      <c r="A782" s="65"/>
      <c r="B782" s="64"/>
      <c r="C782" s="64"/>
      <c r="D782" s="64"/>
      <c r="E782" s="64"/>
      <c r="F782" s="66"/>
      <c r="G782" s="64"/>
      <c r="H782" s="64"/>
      <c r="I782" s="157">
        <f>IF(A782="","",SUMIF($D$3:$D$782,"Inflow",$F$3:$F$782)-SUMIF($D$3:$D$782,"Outflow",$F$3:$F$782)+SUM(Bank_Accounts!$E$3:$E$22))</f>
      </c>
      <c r="J782" s="156"/>
      <c r="K782" s="64"/>
    </row>
    <row r="783" spans="1:11" x14ac:dyDescent="0.25">
      <c r="A783" s="65"/>
      <c r="B783" s="64"/>
      <c r="C783" s="64"/>
      <c r="D783" s="64"/>
      <c r="E783" s="64"/>
      <c r="F783" s="66"/>
      <c r="G783" s="64"/>
      <c r="H783" s="64"/>
      <c r="I783" s="157">
        <f>IF(A783="","",SUMIF($D$3:$D$783,"Inflow",$F$3:$F$783)-SUMIF($D$3:$D$783,"Outflow",$F$3:$F$783)+SUM(Bank_Accounts!$E$3:$E$22))</f>
      </c>
      <c r="J783" s="156"/>
      <c r="K783" s="64"/>
    </row>
    <row r="784" spans="1:11" x14ac:dyDescent="0.25">
      <c r="A784" s="65"/>
      <c r="B784" s="64"/>
      <c r="C784" s="64"/>
      <c r="D784" s="64"/>
      <c r="E784" s="64"/>
      <c r="F784" s="66"/>
      <c r="G784" s="64"/>
      <c r="H784" s="64"/>
      <c r="I784" s="157">
        <f>IF(A784="","",SUMIF($D$3:$D$784,"Inflow",$F$3:$F$784)-SUMIF($D$3:$D$784,"Outflow",$F$3:$F$784)+SUM(Bank_Accounts!$E$3:$E$22))</f>
      </c>
      <c r="J784" s="156"/>
      <c r="K784" s="64"/>
    </row>
    <row r="785" spans="1:11" x14ac:dyDescent="0.25">
      <c r="A785" s="65"/>
      <c r="B785" s="64"/>
      <c r="C785" s="64"/>
      <c r="D785" s="64"/>
      <c r="E785" s="64"/>
      <c r="F785" s="66"/>
      <c r="G785" s="64"/>
      <c r="H785" s="64"/>
      <c r="I785" s="157">
        <f>IF(A785="","",SUMIF($D$3:$D$785,"Inflow",$F$3:$F$785)-SUMIF($D$3:$D$785,"Outflow",$F$3:$F$785)+SUM(Bank_Accounts!$E$3:$E$22))</f>
      </c>
      <c r="J785" s="156"/>
      <c r="K785" s="64"/>
    </row>
    <row r="786" spans="1:11" x14ac:dyDescent="0.25">
      <c r="A786" s="65"/>
      <c r="B786" s="64"/>
      <c r="C786" s="64"/>
      <c r="D786" s="64"/>
      <c r="E786" s="64"/>
      <c r="F786" s="66"/>
      <c r="G786" s="64"/>
      <c r="H786" s="64"/>
      <c r="I786" s="157">
        <f>IF(A786="","",SUMIF($D$3:$D$786,"Inflow",$F$3:$F$786)-SUMIF($D$3:$D$786,"Outflow",$F$3:$F$786)+SUM(Bank_Accounts!$E$3:$E$22))</f>
      </c>
      <c r="J786" s="156"/>
      <c r="K786" s="64"/>
    </row>
    <row r="787" spans="1:11" x14ac:dyDescent="0.25">
      <c r="A787" s="65"/>
      <c r="B787" s="64"/>
      <c r="C787" s="64"/>
      <c r="D787" s="64"/>
      <c r="E787" s="64"/>
      <c r="F787" s="66"/>
      <c r="G787" s="64"/>
      <c r="H787" s="64"/>
      <c r="I787" s="157">
        <f>IF(A787="","",SUMIF($D$3:$D$787,"Inflow",$F$3:$F$787)-SUMIF($D$3:$D$787,"Outflow",$F$3:$F$787)+SUM(Bank_Accounts!$E$3:$E$22))</f>
      </c>
      <c r="J787" s="156"/>
      <c r="K787" s="64"/>
    </row>
    <row r="788" spans="1:11" x14ac:dyDescent="0.25">
      <c r="A788" s="65"/>
      <c r="B788" s="64"/>
      <c r="C788" s="64"/>
      <c r="D788" s="64"/>
      <c r="E788" s="64"/>
      <c r="F788" s="66"/>
      <c r="G788" s="64"/>
      <c r="H788" s="64"/>
      <c r="I788" s="157">
        <f>IF(A788="","",SUMIF($D$3:$D$788,"Inflow",$F$3:$F$788)-SUMIF($D$3:$D$788,"Outflow",$F$3:$F$788)+SUM(Bank_Accounts!$E$3:$E$22))</f>
      </c>
      <c r="J788" s="156"/>
      <c r="K788" s="64"/>
    </row>
    <row r="789" spans="1:11" x14ac:dyDescent="0.25">
      <c r="A789" s="65"/>
      <c r="B789" s="64"/>
      <c r="C789" s="64"/>
      <c r="D789" s="64"/>
      <c r="E789" s="64"/>
      <c r="F789" s="66"/>
      <c r="G789" s="64"/>
      <c r="H789" s="64"/>
      <c r="I789" s="157">
        <f>IF(A789="","",SUMIF($D$3:$D$789,"Inflow",$F$3:$F$789)-SUMIF($D$3:$D$789,"Outflow",$F$3:$F$789)+SUM(Bank_Accounts!$E$3:$E$22))</f>
      </c>
      <c r="J789" s="156"/>
      <c r="K789" s="64"/>
    </row>
    <row r="790" spans="1:11" x14ac:dyDescent="0.25">
      <c r="A790" s="65"/>
      <c r="B790" s="64"/>
      <c r="C790" s="64"/>
      <c r="D790" s="64"/>
      <c r="E790" s="64"/>
      <c r="F790" s="66"/>
      <c r="G790" s="64"/>
      <c r="H790" s="64"/>
      <c r="I790" s="157">
        <f>IF(A790="","",SUMIF($D$3:$D$790,"Inflow",$F$3:$F$790)-SUMIF($D$3:$D$790,"Outflow",$F$3:$F$790)+SUM(Bank_Accounts!$E$3:$E$22))</f>
      </c>
      <c r="J790" s="156"/>
      <c r="K790" s="64"/>
    </row>
    <row r="791" spans="1:11" x14ac:dyDescent="0.25">
      <c r="A791" s="65"/>
      <c r="B791" s="64"/>
      <c r="C791" s="64"/>
      <c r="D791" s="64"/>
      <c r="E791" s="64"/>
      <c r="F791" s="66"/>
      <c r="G791" s="64"/>
      <c r="H791" s="64"/>
      <c r="I791" s="157">
        <f>IF(A791="","",SUMIF($D$3:$D$791,"Inflow",$F$3:$F$791)-SUMIF($D$3:$D$791,"Outflow",$F$3:$F$791)+SUM(Bank_Accounts!$E$3:$E$22))</f>
      </c>
      <c r="J791" s="156"/>
      <c r="K791" s="64"/>
    </row>
    <row r="792" spans="1:11" x14ac:dyDescent="0.25">
      <c r="A792" s="65"/>
      <c r="B792" s="64"/>
      <c r="C792" s="64"/>
      <c r="D792" s="64"/>
      <c r="E792" s="64"/>
      <c r="F792" s="66"/>
      <c r="G792" s="64"/>
      <c r="H792" s="64"/>
      <c r="I792" s="157">
        <f>IF(A792="","",SUMIF($D$3:$D$792,"Inflow",$F$3:$F$792)-SUMIF($D$3:$D$792,"Outflow",$F$3:$F$792)+SUM(Bank_Accounts!$E$3:$E$22))</f>
      </c>
      <c r="J792" s="156"/>
      <c r="K792" s="64"/>
    </row>
    <row r="793" spans="1:11" x14ac:dyDescent="0.25">
      <c r="A793" s="65"/>
      <c r="B793" s="64"/>
      <c r="C793" s="64"/>
      <c r="D793" s="64"/>
      <c r="E793" s="64"/>
      <c r="F793" s="66"/>
      <c r="G793" s="64"/>
      <c r="H793" s="64"/>
      <c r="I793" s="157">
        <f>IF(A793="","",SUMIF($D$3:$D$793,"Inflow",$F$3:$F$793)-SUMIF($D$3:$D$793,"Outflow",$F$3:$F$793)+SUM(Bank_Accounts!$E$3:$E$22))</f>
      </c>
      <c r="J793" s="156"/>
      <c r="K793" s="64"/>
    </row>
    <row r="794" spans="1:11" x14ac:dyDescent="0.25">
      <c r="A794" s="65"/>
      <c r="B794" s="64"/>
      <c r="C794" s="64"/>
      <c r="D794" s="64"/>
      <c r="E794" s="64"/>
      <c r="F794" s="66"/>
      <c r="G794" s="64"/>
      <c r="H794" s="64"/>
      <c r="I794" s="157">
        <f>IF(A794="","",SUMIF($D$3:$D$794,"Inflow",$F$3:$F$794)-SUMIF($D$3:$D$794,"Outflow",$F$3:$F$794)+SUM(Bank_Accounts!$E$3:$E$22))</f>
      </c>
      <c r="J794" s="156"/>
      <c r="K794" s="64"/>
    </row>
    <row r="795" spans="1:11" x14ac:dyDescent="0.25">
      <c r="A795" s="65"/>
      <c r="B795" s="64"/>
      <c r="C795" s="64"/>
      <c r="D795" s="64"/>
      <c r="E795" s="64"/>
      <c r="F795" s="66"/>
      <c r="G795" s="64"/>
      <c r="H795" s="64"/>
      <c r="I795" s="157">
        <f>IF(A795="","",SUMIF($D$3:$D$795,"Inflow",$F$3:$F$795)-SUMIF($D$3:$D$795,"Outflow",$F$3:$F$795)+SUM(Bank_Accounts!$E$3:$E$22))</f>
      </c>
      <c r="J795" s="156"/>
      <c r="K795" s="64"/>
    </row>
    <row r="796" spans="1:11" x14ac:dyDescent="0.25">
      <c r="A796" s="65"/>
      <c r="B796" s="64"/>
      <c r="C796" s="64"/>
      <c r="D796" s="64"/>
      <c r="E796" s="64"/>
      <c r="F796" s="66"/>
      <c r="G796" s="64"/>
      <c r="H796" s="64"/>
      <c r="I796" s="157">
        <f>IF(A796="","",SUMIF($D$3:$D$796,"Inflow",$F$3:$F$796)-SUMIF($D$3:$D$796,"Outflow",$F$3:$F$796)+SUM(Bank_Accounts!$E$3:$E$22))</f>
      </c>
      <c r="J796" s="156"/>
      <c r="K796" s="64"/>
    </row>
    <row r="797" spans="1:11" x14ac:dyDescent="0.25">
      <c r="A797" s="65"/>
      <c r="B797" s="64"/>
      <c r="C797" s="64"/>
      <c r="D797" s="64"/>
      <c r="E797" s="64"/>
      <c r="F797" s="66"/>
      <c r="G797" s="64"/>
      <c r="H797" s="64"/>
      <c r="I797" s="157">
        <f>IF(A797="","",SUMIF($D$3:$D$797,"Inflow",$F$3:$F$797)-SUMIF($D$3:$D$797,"Outflow",$F$3:$F$797)+SUM(Bank_Accounts!$E$3:$E$22))</f>
      </c>
      <c r="J797" s="156"/>
      <c r="K797" s="64"/>
    </row>
    <row r="798" spans="1:11" x14ac:dyDescent="0.25">
      <c r="A798" s="65"/>
      <c r="B798" s="64"/>
      <c r="C798" s="64"/>
      <c r="D798" s="64"/>
      <c r="E798" s="64"/>
      <c r="F798" s="66"/>
      <c r="G798" s="64"/>
      <c r="H798" s="64"/>
      <c r="I798" s="157">
        <f>IF(A798="","",SUMIF($D$3:$D$798,"Inflow",$F$3:$F$798)-SUMIF($D$3:$D$798,"Outflow",$F$3:$F$798)+SUM(Bank_Accounts!$E$3:$E$22))</f>
      </c>
      <c r="J798" s="156"/>
      <c r="K798" s="64"/>
    </row>
    <row r="799" spans="1:11" x14ac:dyDescent="0.25">
      <c r="A799" s="65"/>
      <c r="B799" s="64"/>
      <c r="C799" s="64"/>
      <c r="D799" s="64"/>
      <c r="E799" s="64"/>
      <c r="F799" s="66"/>
      <c r="G799" s="64"/>
      <c r="H799" s="64"/>
      <c r="I799" s="157">
        <f>IF(A799="","",SUMIF($D$3:$D$799,"Inflow",$F$3:$F$799)-SUMIF($D$3:$D$799,"Outflow",$F$3:$F$799)+SUM(Bank_Accounts!$E$3:$E$22))</f>
      </c>
      <c r="J799" s="156"/>
      <c r="K799" s="64"/>
    </row>
    <row r="800" spans="1:11" x14ac:dyDescent="0.25">
      <c r="A800" s="65"/>
      <c r="B800" s="64"/>
      <c r="C800" s="64"/>
      <c r="D800" s="64"/>
      <c r="E800" s="64"/>
      <c r="F800" s="66"/>
      <c r="G800" s="64"/>
      <c r="H800" s="64"/>
      <c r="I800" s="157">
        <f>IF(A800="","",SUMIF($D$3:$D$800,"Inflow",$F$3:$F$800)-SUMIF($D$3:$D$800,"Outflow",$F$3:$F$800)+SUM(Bank_Accounts!$E$3:$E$22))</f>
      </c>
      <c r="J800" s="156"/>
      <c r="K800" s="64"/>
    </row>
    <row r="801" spans="1:11" x14ac:dyDescent="0.25">
      <c r="A801" s="65"/>
      <c r="B801" s="64"/>
      <c r="C801" s="64"/>
      <c r="D801" s="64"/>
      <c r="E801" s="64"/>
      <c r="F801" s="66"/>
      <c r="G801" s="64"/>
      <c r="H801" s="64"/>
      <c r="I801" s="157">
        <f>IF(A801="","",SUMIF($D$3:$D$801,"Inflow",$F$3:$F$801)-SUMIF($D$3:$D$801,"Outflow",$F$3:$F$801)+SUM(Bank_Accounts!$E$3:$E$22))</f>
      </c>
      <c r="J801" s="156"/>
      <c r="K801" s="64"/>
    </row>
    <row r="802" spans="1:11" x14ac:dyDescent="0.25">
      <c r="A802" s="65"/>
      <c r="B802" s="64"/>
      <c r="C802" s="64"/>
      <c r="D802" s="64"/>
      <c r="E802" s="64"/>
      <c r="F802" s="66"/>
      <c r="G802" s="64"/>
      <c r="H802" s="64"/>
      <c r="I802" s="157">
        <f>IF(A802="","",SUMIF($D$3:$D$802,"Inflow",$F$3:$F$802)-SUMIF($D$3:$D$802,"Outflow",$F$3:$F$802)+SUM(Bank_Accounts!$E$3:$E$22))</f>
      </c>
      <c r="J802" s="156"/>
      <c r="K802" s="64"/>
    </row>
    <row r="803" spans="1:11" x14ac:dyDescent="0.25">
      <c r="A803" s="65"/>
      <c r="B803" s="64"/>
      <c r="C803" s="64"/>
      <c r="D803" s="64"/>
      <c r="E803" s="64"/>
      <c r="F803" s="66"/>
      <c r="G803" s="64"/>
      <c r="H803" s="64"/>
      <c r="I803" s="157">
        <f>IF(A803="","",SUMIF($D$3:$D$803,"Inflow",$F$3:$F$803)-SUMIF($D$3:$D$803,"Outflow",$F$3:$F$803)+SUM(Bank_Accounts!$E$3:$E$22))</f>
      </c>
      <c r="J803" s="156"/>
      <c r="K803" s="64"/>
    </row>
    <row r="804" spans="1:11" x14ac:dyDescent="0.25">
      <c r="A804" s="65"/>
      <c r="B804" s="64"/>
      <c r="C804" s="64"/>
      <c r="D804" s="64"/>
      <c r="E804" s="64"/>
      <c r="F804" s="66"/>
      <c r="G804" s="64"/>
      <c r="H804" s="64"/>
      <c r="I804" s="157">
        <f>IF(A804="","",SUMIF($D$3:$D$804,"Inflow",$F$3:$F$804)-SUMIF($D$3:$D$804,"Outflow",$F$3:$F$804)+SUM(Bank_Accounts!$E$3:$E$22))</f>
      </c>
      <c r="J804" s="156"/>
      <c r="K804" s="64"/>
    </row>
    <row r="805" spans="1:11" x14ac:dyDescent="0.25">
      <c r="A805" s="65"/>
      <c r="B805" s="64"/>
      <c r="C805" s="64"/>
      <c r="D805" s="64"/>
      <c r="E805" s="64"/>
      <c r="F805" s="66"/>
      <c r="G805" s="64"/>
      <c r="H805" s="64"/>
      <c r="I805" s="157">
        <f>IF(A805="","",SUMIF($D$3:$D$805,"Inflow",$F$3:$F$805)-SUMIF($D$3:$D$805,"Outflow",$F$3:$F$805)+SUM(Bank_Accounts!$E$3:$E$22))</f>
      </c>
      <c r="J805" s="156"/>
      <c r="K805" s="64"/>
    </row>
    <row r="806" spans="1:11" x14ac:dyDescent="0.25">
      <c r="A806" s="65"/>
      <c r="B806" s="64"/>
      <c r="C806" s="64"/>
      <c r="D806" s="64"/>
      <c r="E806" s="64"/>
      <c r="F806" s="66"/>
      <c r="G806" s="64"/>
      <c r="H806" s="64"/>
      <c r="I806" s="157">
        <f>IF(A806="","",SUMIF($D$3:$D$806,"Inflow",$F$3:$F$806)-SUMIF($D$3:$D$806,"Outflow",$F$3:$F$806)+SUM(Bank_Accounts!$E$3:$E$22))</f>
      </c>
      <c r="J806" s="156"/>
      <c r="K806" s="64"/>
    </row>
    <row r="807" spans="1:11" x14ac:dyDescent="0.25">
      <c r="A807" s="65"/>
      <c r="B807" s="64"/>
      <c r="C807" s="64"/>
      <c r="D807" s="64"/>
      <c r="E807" s="64"/>
      <c r="F807" s="66"/>
      <c r="G807" s="64"/>
      <c r="H807" s="64"/>
      <c r="I807" s="157">
        <f>IF(A807="","",SUMIF($D$3:$D$807,"Inflow",$F$3:$F$807)-SUMIF($D$3:$D$807,"Outflow",$F$3:$F$807)+SUM(Bank_Accounts!$E$3:$E$22))</f>
      </c>
      <c r="J807" s="156"/>
      <c r="K807" s="64"/>
    </row>
    <row r="808" spans="1:11" x14ac:dyDescent="0.25">
      <c r="A808" s="65"/>
      <c r="B808" s="64"/>
      <c r="C808" s="64"/>
      <c r="D808" s="64"/>
      <c r="E808" s="64"/>
      <c r="F808" s="66"/>
      <c r="G808" s="64"/>
      <c r="H808" s="64"/>
      <c r="I808" s="157">
        <f>IF(A808="","",SUMIF($D$3:$D$808,"Inflow",$F$3:$F$808)-SUMIF($D$3:$D$808,"Outflow",$F$3:$F$808)+SUM(Bank_Accounts!$E$3:$E$22))</f>
      </c>
      <c r="J808" s="156"/>
      <c r="K808" s="64"/>
    </row>
    <row r="809" spans="1:11" x14ac:dyDescent="0.25">
      <c r="A809" s="65"/>
      <c r="B809" s="64"/>
      <c r="C809" s="64"/>
      <c r="D809" s="64"/>
      <c r="E809" s="64"/>
      <c r="F809" s="66"/>
      <c r="G809" s="64"/>
      <c r="H809" s="64"/>
      <c r="I809" s="157">
        <f>IF(A809="","",SUMIF($D$3:$D$809,"Inflow",$F$3:$F$809)-SUMIF($D$3:$D$809,"Outflow",$F$3:$F$809)+SUM(Bank_Accounts!$E$3:$E$22))</f>
      </c>
      <c r="J809" s="156"/>
      <c r="K809" s="64"/>
    </row>
    <row r="810" spans="1:11" x14ac:dyDescent="0.25">
      <c r="A810" s="65"/>
      <c r="B810" s="64"/>
      <c r="C810" s="64"/>
      <c r="D810" s="64"/>
      <c r="E810" s="64"/>
      <c r="F810" s="66"/>
      <c r="G810" s="64"/>
      <c r="H810" s="64"/>
      <c r="I810" s="157">
        <f>IF(A810="","",SUMIF($D$3:$D$810,"Inflow",$F$3:$F$810)-SUMIF($D$3:$D$810,"Outflow",$F$3:$F$810)+SUM(Bank_Accounts!$E$3:$E$22))</f>
      </c>
      <c r="J810" s="156"/>
      <c r="K810" s="64"/>
    </row>
    <row r="811" spans="1:11" x14ac:dyDescent="0.25">
      <c r="A811" s="65"/>
      <c r="B811" s="64"/>
      <c r="C811" s="64"/>
      <c r="D811" s="64"/>
      <c r="E811" s="64"/>
      <c r="F811" s="66"/>
      <c r="G811" s="64"/>
      <c r="H811" s="64"/>
      <c r="I811" s="157">
        <f>IF(A811="","",SUMIF($D$3:$D$811,"Inflow",$F$3:$F$811)-SUMIF($D$3:$D$811,"Outflow",$F$3:$F$811)+SUM(Bank_Accounts!$E$3:$E$22))</f>
      </c>
      <c r="J811" s="156"/>
      <c r="K811" s="64"/>
    </row>
    <row r="812" spans="1:11" x14ac:dyDescent="0.25">
      <c r="A812" s="65"/>
      <c r="B812" s="64"/>
      <c r="C812" s="64"/>
      <c r="D812" s="64"/>
      <c r="E812" s="64"/>
      <c r="F812" s="66"/>
      <c r="G812" s="64"/>
      <c r="H812" s="64"/>
      <c r="I812" s="157">
        <f>IF(A812="","",SUMIF($D$3:$D$812,"Inflow",$F$3:$F$812)-SUMIF($D$3:$D$812,"Outflow",$F$3:$F$812)+SUM(Bank_Accounts!$E$3:$E$22))</f>
      </c>
      <c r="J812" s="156"/>
      <c r="K812" s="64"/>
    </row>
    <row r="813" spans="1:11" x14ac:dyDescent="0.25">
      <c r="A813" s="65"/>
      <c r="B813" s="64"/>
      <c r="C813" s="64"/>
      <c r="D813" s="64"/>
      <c r="E813" s="64"/>
      <c r="F813" s="66"/>
      <c r="G813" s="64"/>
      <c r="H813" s="64"/>
      <c r="I813" s="157">
        <f>IF(A813="","",SUMIF($D$3:$D$813,"Inflow",$F$3:$F$813)-SUMIF($D$3:$D$813,"Outflow",$F$3:$F$813)+SUM(Bank_Accounts!$E$3:$E$22))</f>
      </c>
      <c r="J813" s="156"/>
      <c r="K813" s="64"/>
    </row>
    <row r="814" spans="1:11" x14ac:dyDescent="0.25">
      <c r="A814" s="65"/>
      <c r="B814" s="64"/>
      <c r="C814" s="64"/>
      <c r="D814" s="64"/>
      <c r="E814" s="64"/>
      <c r="F814" s="66"/>
      <c r="G814" s="64"/>
      <c r="H814" s="64"/>
      <c r="I814" s="157">
        <f>IF(A814="","",SUMIF($D$3:$D$814,"Inflow",$F$3:$F$814)-SUMIF($D$3:$D$814,"Outflow",$F$3:$F$814)+SUM(Bank_Accounts!$E$3:$E$22))</f>
      </c>
      <c r="J814" s="156"/>
      <c r="K814" s="64"/>
    </row>
    <row r="815" spans="1:11" x14ac:dyDescent="0.25">
      <c r="A815" s="65"/>
      <c r="B815" s="64"/>
      <c r="C815" s="64"/>
      <c r="D815" s="64"/>
      <c r="E815" s="64"/>
      <c r="F815" s="66"/>
      <c r="G815" s="64"/>
      <c r="H815" s="64"/>
      <c r="I815" s="157">
        <f>IF(A815="","",SUMIF($D$3:$D$815,"Inflow",$F$3:$F$815)-SUMIF($D$3:$D$815,"Outflow",$F$3:$F$815)+SUM(Bank_Accounts!$E$3:$E$22))</f>
      </c>
      <c r="J815" s="156"/>
      <c r="K815" s="64"/>
    </row>
    <row r="816" spans="1:11" x14ac:dyDescent="0.25">
      <c r="A816" s="65"/>
      <c r="B816" s="64"/>
      <c r="C816" s="64"/>
      <c r="D816" s="64"/>
      <c r="E816" s="64"/>
      <c r="F816" s="66"/>
      <c r="G816" s="64"/>
      <c r="H816" s="64"/>
      <c r="I816" s="157">
        <f>IF(A816="","",SUMIF($D$3:$D$816,"Inflow",$F$3:$F$816)-SUMIF($D$3:$D$816,"Outflow",$F$3:$F$816)+SUM(Bank_Accounts!$E$3:$E$22))</f>
      </c>
      <c r="J816" s="156"/>
      <c r="K816" s="64"/>
    </row>
    <row r="817" spans="1:11" x14ac:dyDescent="0.25">
      <c r="A817" s="65"/>
      <c r="B817" s="64"/>
      <c r="C817" s="64"/>
      <c r="D817" s="64"/>
      <c r="E817" s="64"/>
      <c r="F817" s="66"/>
      <c r="G817" s="64"/>
      <c r="H817" s="64"/>
      <c r="I817" s="157">
        <f>IF(A817="","",SUMIF($D$3:$D$817,"Inflow",$F$3:$F$817)-SUMIF($D$3:$D$817,"Outflow",$F$3:$F$817)+SUM(Bank_Accounts!$E$3:$E$22))</f>
      </c>
      <c r="J817" s="156"/>
      <c r="K817" s="64"/>
    </row>
    <row r="818" spans="1:11" x14ac:dyDescent="0.25">
      <c r="A818" s="65"/>
      <c r="B818" s="64"/>
      <c r="C818" s="64"/>
      <c r="D818" s="64"/>
      <c r="E818" s="64"/>
      <c r="F818" s="66"/>
      <c r="G818" s="64"/>
      <c r="H818" s="64"/>
      <c r="I818" s="157">
        <f>IF(A818="","",SUMIF($D$3:$D$818,"Inflow",$F$3:$F$818)-SUMIF($D$3:$D$818,"Outflow",$F$3:$F$818)+SUM(Bank_Accounts!$E$3:$E$22))</f>
      </c>
      <c r="J818" s="156"/>
      <c r="K818" s="64"/>
    </row>
    <row r="819" spans="1:11" x14ac:dyDescent="0.25">
      <c r="A819" s="65"/>
      <c r="B819" s="64"/>
      <c r="C819" s="64"/>
      <c r="D819" s="64"/>
      <c r="E819" s="64"/>
      <c r="F819" s="66"/>
      <c r="G819" s="64"/>
      <c r="H819" s="64"/>
      <c r="I819" s="157">
        <f>IF(A819="","",SUMIF($D$3:$D$819,"Inflow",$F$3:$F$819)-SUMIF($D$3:$D$819,"Outflow",$F$3:$F$819)+SUM(Bank_Accounts!$E$3:$E$22))</f>
      </c>
      <c r="J819" s="156"/>
      <c r="K819" s="64"/>
    </row>
    <row r="820" spans="1:11" x14ac:dyDescent="0.25">
      <c r="A820" s="65"/>
      <c r="B820" s="64"/>
      <c r="C820" s="64"/>
      <c r="D820" s="64"/>
      <c r="E820" s="64"/>
      <c r="F820" s="66"/>
      <c r="G820" s="64"/>
      <c r="H820" s="64"/>
      <c r="I820" s="157">
        <f>IF(A820="","",SUMIF($D$3:$D$820,"Inflow",$F$3:$F$820)-SUMIF($D$3:$D$820,"Outflow",$F$3:$F$820)+SUM(Bank_Accounts!$E$3:$E$22))</f>
      </c>
      <c r="J820" s="156"/>
      <c r="K820" s="64"/>
    </row>
    <row r="821" spans="1:11" x14ac:dyDescent="0.25">
      <c r="A821" s="65"/>
      <c r="B821" s="64"/>
      <c r="C821" s="64"/>
      <c r="D821" s="64"/>
      <c r="E821" s="64"/>
      <c r="F821" s="66"/>
      <c r="G821" s="64"/>
      <c r="H821" s="64"/>
      <c r="I821" s="157">
        <f>IF(A821="","",SUMIF($D$3:$D$821,"Inflow",$F$3:$F$821)-SUMIF($D$3:$D$821,"Outflow",$F$3:$F$821)+SUM(Bank_Accounts!$E$3:$E$22))</f>
      </c>
      <c r="J821" s="156"/>
      <c r="K821" s="64"/>
    </row>
    <row r="822" spans="1:11" x14ac:dyDescent="0.25">
      <c r="A822" s="65"/>
      <c r="B822" s="64"/>
      <c r="C822" s="64"/>
      <c r="D822" s="64"/>
      <c r="E822" s="64"/>
      <c r="F822" s="66"/>
      <c r="G822" s="64"/>
      <c r="H822" s="64"/>
      <c r="I822" s="157">
        <f>IF(A822="","",SUMIF($D$3:$D$822,"Inflow",$F$3:$F$822)-SUMIF($D$3:$D$822,"Outflow",$F$3:$F$822)+SUM(Bank_Accounts!$E$3:$E$22))</f>
      </c>
      <c r="J822" s="156"/>
      <c r="K822" s="64"/>
    </row>
    <row r="823" spans="1:11" x14ac:dyDescent="0.25">
      <c r="A823" s="65"/>
      <c r="B823" s="64"/>
      <c r="C823" s="64"/>
      <c r="D823" s="64"/>
      <c r="E823" s="64"/>
      <c r="F823" s="66"/>
      <c r="G823" s="64"/>
      <c r="H823" s="64"/>
      <c r="I823" s="157">
        <f>IF(A823="","",SUMIF($D$3:$D$823,"Inflow",$F$3:$F$823)-SUMIF($D$3:$D$823,"Outflow",$F$3:$F$823)+SUM(Bank_Accounts!$E$3:$E$22))</f>
      </c>
      <c r="J823" s="156"/>
      <c r="K823" s="64"/>
    </row>
    <row r="824" spans="1:11" x14ac:dyDescent="0.25">
      <c r="A824" s="65"/>
      <c r="B824" s="64"/>
      <c r="C824" s="64"/>
      <c r="D824" s="64"/>
      <c r="E824" s="64"/>
      <c r="F824" s="66"/>
      <c r="G824" s="64"/>
      <c r="H824" s="64"/>
      <c r="I824" s="157">
        <f>IF(A824="","",SUMIF($D$3:$D$824,"Inflow",$F$3:$F$824)-SUMIF($D$3:$D$824,"Outflow",$F$3:$F$824)+SUM(Bank_Accounts!$E$3:$E$22))</f>
      </c>
      <c r="J824" s="156"/>
      <c r="K824" s="64"/>
    </row>
    <row r="825" spans="1:11" x14ac:dyDescent="0.25">
      <c r="A825" s="65"/>
      <c r="B825" s="64"/>
      <c r="C825" s="64"/>
      <c r="D825" s="64"/>
      <c r="E825" s="64"/>
      <c r="F825" s="66"/>
      <c r="G825" s="64"/>
      <c r="H825" s="64"/>
      <c r="I825" s="157">
        <f>IF(A825="","",SUMIF($D$3:$D$825,"Inflow",$F$3:$F$825)-SUMIF($D$3:$D$825,"Outflow",$F$3:$F$825)+SUM(Bank_Accounts!$E$3:$E$22))</f>
      </c>
      <c r="J825" s="156"/>
      <c r="K825" s="64"/>
    </row>
    <row r="826" spans="1:11" x14ac:dyDescent="0.25">
      <c r="A826" s="65"/>
      <c r="B826" s="64"/>
      <c r="C826" s="64"/>
      <c r="D826" s="64"/>
      <c r="E826" s="64"/>
      <c r="F826" s="66"/>
      <c r="G826" s="64"/>
      <c r="H826" s="64"/>
      <c r="I826" s="157">
        <f>IF(A826="","",SUMIF($D$3:$D$826,"Inflow",$F$3:$F$826)-SUMIF($D$3:$D$826,"Outflow",$F$3:$F$826)+SUM(Bank_Accounts!$E$3:$E$22))</f>
      </c>
      <c r="J826" s="156"/>
      <c r="K826" s="64"/>
    </row>
    <row r="827" spans="1:11" x14ac:dyDescent="0.25">
      <c r="A827" s="65"/>
      <c r="B827" s="64"/>
      <c r="C827" s="64"/>
      <c r="D827" s="64"/>
      <c r="E827" s="64"/>
      <c r="F827" s="66"/>
      <c r="G827" s="64"/>
      <c r="H827" s="64"/>
      <c r="I827" s="157">
        <f>IF(A827="","",SUMIF($D$3:$D$827,"Inflow",$F$3:$F$827)-SUMIF($D$3:$D$827,"Outflow",$F$3:$F$827)+SUM(Bank_Accounts!$E$3:$E$22))</f>
      </c>
      <c r="J827" s="156"/>
      <c r="K827" s="64"/>
    </row>
    <row r="828" spans="1:11" x14ac:dyDescent="0.25">
      <c r="A828" s="65"/>
      <c r="B828" s="64"/>
      <c r="C828" s="64"/>
      <c r="D828" s="64"/>
      <c r="E828" s="64"/>
      <c r="F828" s="66"/>
      <c r="G828" s="64"/>
      <c r="H828" s="64"/>
      <c r="I828" s="157">
        <f>IF(A828="","",SUMIF($D$3:$D$828,"Inflow",$F$3:$F$828)-SUMIF($D$3:$D$828,"Outflow",$F$3:$F$828)+SUM(Bank_Accounts!$E$3:$E$22))</f>
      </c>
      <c r="J828" s="156"/>
      <c r="K828" s="64"/>
    </row>
    <row r="829" spans="1:11" x14ac:dyDescent="0.25">
      <c r="A829" s="65"/>
      <c r="B829" s="64"/>
      <c r="C829" s="64"/>
      <c r="D829" s="64"/>
      <c r="E829" s="64"/>
      <c r="F829" s="66"/>
      <c r="G829" s="64"/>
      <c r="H829" s="64"/>
      <c r="I829" s="157">
        <f>IF(A829="","",SUMIF($D$3:$D$829,"Inflow",$F$3:$F$829)-SUMIF($D$3:$D$829,"Outflow",$F$3:$F$829)+SUM(Bank_Accounts!$E$3:$E$22))</f>
      </c>
      <c r="J829" s="156"/>
      <c r="K829" s="64"/>
    </row>
    <row r="830" spans="1:11" x14ac:dyDescent="0.25">
      <c r="A830" s="65"/>
      <c r="B830" s="64"/>
      <c r="C830" s="64"/>
      <c r="D830" s="64"/>
      <c r="E830" s="64"/>
      <c r="F830" s="66"/>
      <c r="G830" s="64"/>
      <c r="H830" s="64"/>
      <c r="I830" s="157">
        <f>IF(A830="","",SUMIF($D$3:$D$830,"Inflow",$F$3:$F$830)-SUMIF($D$3:$D$830,"Outflow",$F$3:$F$830)+SUM(Bank_Accounts!$E$3:$E$22))</f>
      </c>
      <c r="J830" s="156"/>
      <c r="K830" s="64"/>
    </row>
    <row r="831" spans="1:11" x14ac:dyDescent="0.25">
      <c r="A831" s="65"/>
      <c r="B831" s="64"/>
      <c r="C831" s="64"/>
      <c r="D831" s="64"/>
      <c r="E831" s="64"/>
      <c r="F831" s="66"/>
      <c r="G831" s="64"/>
      <c r="H831" s="64"/>
      <c r="I831" s="157">
        <f>IF(A831="","",SUMIF($D$3:$D$831,"Inflow",$F$3:$F$831)-SUMIF($D$3:$D$831,"Outflow",$F$3:$F$831)+SUM(Bank_Accounts!$E$3:$E$22))</f>
      </c>
      <c r="J831" s="156"/>
      <c r="K831" s="64"/>
    </row>
    <row r="832" spans="1:11" x14ac:dyDescent="0.25">
      <c r="A832" s="65"/>
      <c r="B832" s="64"/>
      <c r="C832" s="64"/>
      <c r="D832" s="64"/>
      <c r="E832" s="64"/>
      <c r="F832" s="66"/>
      <c r="G832" s="64"/>
      <c r="H832" s="64"/>
      <c r="I832" s="157">
        <f>IF(A832="","",SUMIF($D$3:$D$832,"Inflow",$F$3:$F$832)-SUMIF($D$3:$D$832,"Outflow",$F$3:$F$832)+SUM(Bank_Accounts!$E$3:$E$22))</f>
      </c>
      <c r="J832" s="156"/>
      <c r="K832" s="64"/>
    </row>
    <row r="833" spans="1:11" x14ac:dyDescent="0.25">
      <c r="A833" s="65"/>
      <c r="B833" s="64"/>
      <c r="C833" s="64"/>
      <c r="D833" s="64"/>
      <c r="E833" s="64"/>
      <c r="F833" s="66"/>
      <c r="G833" s="64"/>
      <c r="H833" s="64"/>
      <c r="I833" s="157">
        <f>IF(A833="","",SUMIF($D$3:$D$833,"Inflow",$F$3:$F$833)-SUMIF($D$3:$D$833,"Outflow",$F$3:$F$833)+SUM(Bank_Accounts!$E$3:$E$22))</f>
      </c>
      <c r="J833" s="156"/>
      <c r="K833" s="64"/>
    </row>
    <row r="834" spans="1:11" x14ac:dyDescent="0.25">
      <c r="A834" s="65"/>
      <c r="B834" s="64"/>
      <c r="C834" s="64"/>
      <c r="D834" s="64"/>
      <c r="E834" s="64"/>
      <c r="F834" s="66"/>
      <c r="G834" s="64"/>
      <c r="H834" s="64"/>
      <c r="I834" s="157">
        <f>IF(A834="","",SUMIF($D$3:$D$834,"Inflow",$F$3:$F$834)-SUMIF($D$3:$D$834,"Outflow",$F$3:$F$834)+SUM(Bank_Accounts!$E$3:$E$22))</f>
      </c>
      <c r="J834" s="156"/>
      <c r="K834" s="64"/>
    </row>
    <row r="835" spans="1:11" x14ac:dyDescent="0.25">
      <c r="A835" s="65"/>
      <c r="B835" s="64"/>
      <c r="C835" s="64"/>
      <c r="D835" s="64"/>
      <c r="E835" s="64"/>
      <c r="F835" s="66"/>
      <c r="G835" s="64"/>
      <c r="H835" s="64"/>
      <c r="I835" s="157">
        <f>IF(A835="","",SUMIF($D$3:$D$835,"Inflow",$F$3:$F$835)-SUMIF($D$3:$D$835,"Outflow",$F$3:$F$835)+SUM(Bank_Accounts!$E$3:$E$22))</f>
      </c>
      <c r="J835" s="156"/>
      <c r="K835" s="64"/>
    </row>
    <row r="836" spans="1:11" x14ac:dyDescent="0.25">
      <c r="A836" s="65"/>
      <c r="B836" s="64"/>
      <c r="C836" s="64"/>
      <c r="D836" s="64"/>
      <c r="E836" s="64"/>
      <c r="F836" s="66"/>
      <c r="G836" s="64"/>
      <c r="H836" s="64"/>
      <c r="I836" s="157">
        <f>IF(A836="","",SUMIF($D$3:$D$836,"Inflow",$F$3:$F$836)-SUMIF($D$3:$D$836,"Outflow",$F$3:$F$836)+SUM(Bank_Accounts!$E$3:$E$22))</f>
      </c>
      <c r="J836" s="156"/>
      <c r="K836" s="64"/>
    </row>
    <row r="837" spans="1:11" x14ac:dyDescent="0.25">
      <c r="A837" s="65"/>
      <c r="B837" s="64"/>
      <c r="C837" s="64"/>
      <c r="D837" s="64"/>
      <c r="E837" s="64"/>
      <c r="F837" s="66"/>
      <c r="G837" s="64"/>
      <c r="H837" s="64"/>
      <c r="I837" s="157">
        <f>IF(A837="","",SUMIF($D$3:$D$837,"Inflow",$F$3:$F$837)-SUMIF($D$3:$D$837,"Outflow",$F$3:$F$837)+SUM(Bank_Accounts!$E$3:$E$22))</f>
      </c>
      <c r="J837" s="156"/>
      <c r="K837" s="64"/>
    </row>
    <row r="838" spans="1:11" x14ac:dyDescent="0.25">
      <c r="A838" s="65"/>
      <c r="B838" s="64"/>
      <c r="C838" s="64"/>
      <c r="D838" s="64"/>
      <c r="E838" s="64"/>
      <c r="F838" s="66"/>
      <c r="G838" s="64"/>
      <c r="H838" s="64"/>
      <c r="I838" s="157">
        <f>IF(A838="","",SUMIF($D$3:$D$838,"Inflow",$F$3:$F$838)-SUMIF($D$3:$D$838,"Outflow",$F$3:$F$838)+SUM(Bank_Accounts!$E$3:$E$22))</f>
      </c>
      <c r="J838" s="156"/>
      <c r="K838" s="64"/>
    </row>
    <row r="839" spans="1:11" x14ac:dyDescent="0.25">
      <c r="A839" s="65"/>
      <c r="B839" s="64"/>
      <c r="C839" s="64"/>
      <c r="D839" s="64"/>
      <c r="E839" s="64"/>
      <c r="F839" s="66"/>
      <c r="G839" s="64"/>
      <c r="H839" s="64"/>
      <c r="I839" s="157">
        <f>IF(A839="","",SUMIF($D$3:$D$839,"Inflow",$F$3:$F$839)-SUMIF($D$3:$D$839,"Outflow",$F$3:$F$839)+SUM(Bank_Accounts!$E$3:$E$22))</f>
      </c>
      <c r="J839" s="156"/>
      <c r="K839" s="64"/>
    </row>
    <row r="840" spans="1:11" x14ac:dyDescent="0.25">
      <c r="A840" s="65"/>
      <c r="B840" s="64"/>
      <c r="C840" s="64"/>
      <c r="D840" s="64"/>
      <c r="E840" s="64"/>
      <c r="F840" s="66"/>
      <c r="G840" s="64"/>
      <c r="H840" s="64"/>
      <c r="I840" s="157">
        <f>IF(A840="","",SUMIF($D$3:$D$840,"Inflow",$F$3:$F$840)-SUMIF($D$3:$D$840,"Outflow",$F$3:$F$840)+SUM(Bank_Accounts!$E$3:$E$22))</f>
      </c>
      <c r="J840" s="156"/>
      <c r="K840" s="64"/>
    </row>
    <row r="841" spans="1:11" x14ac:dyDescent="0.25">
      <c r="A841" s="65"/>
      <c r="B841" s="64"/>
      <c r="C841" s="64"/>
      <c r="D841" s="64"/>
      <c r="E841" s="64"/>
      <c r="F841" s="66"/>
      <c r="G841" s="64"/>
      <c r="H841" s="64"/>
      <c r="I841" s="157">
        <f>IF(A841="","",SUMIF($D$3:$D$841,"Inflow",$F$3:$F$841)-SUMIF($D$3:$D$841,"Outflow",$F$3:$F$841)+SUM(Bank_Accounts!$E$3:$E$22))</f>
      </c>
      <c r="J841" s="156"/>
      <c r="K841" s="64"/>
    </row>
    <row r="842" spans="1:11" x14ac:dyDescent="0.25">
      <c r="A842" s="65"/>
      <c r="B842" s="64"/>
      <c r="C842" s="64"/>
      <c r="D842" s="64"/>
      <c r="E842" s="64"/>
      <c r="F842" s="66"/>
      <c r="G842" s="64"/>
      <c r="H842" s="64"/>
      <c r="I842" s="157">
        <f>IF(A842="","",SUMIF($D$3:$D$842,"Inflow",$F$3:$F$842)-SUMIF($D$3:$D$842,"Outflow",$F$3:$F$842)+SUM(Bank_Accounts!$E$3:$E$22))</f>
      </c>
      <c r="J842" s="156"/>
      <c r="K842" s="64"/>
    </row>
    <row r="843" spans="1:11" x14ac:dyDescent="0.25">
      <c r="A843" s="65"/>
      <c r="B843" s="64"/>
      <c r="C843" s="64"/>
      <c r="D843" s="64"/>
      <c r="E843" s="64"/>
      <c r="F843" s="66"/>
      <c r="G843" s="64"/>
      <c r="H843" s="64"/>
      <c r="I843" s="157">
        <f>IF(A843="","",SUMIF($D$3:$D$843,"Inflow",$F$3:$F$843)-SUMIF($D$3:$D$843,"Outflow",$F$3:$F$843)+SUM(Bank_Accounts!$E$3:$E$22))</f>
      </c>
      <c r="J843" s="156"/>
      <c r="K843" s="64"/>
    </row>
    <row r="844" spans="1:11" x14ac:dyDescent="0.25">
      <c r="A844" s="65"/>
      <c r="B844" s="64"/>
      <c r="C844" s="64"/>
      <c r="D844" s="64"/>
      <c r="E844" s="64"/>
      <c r="F844" s="66"/>
      <c r="G844" s="64"/>
      <c r="H844" s="64"/>
      <c r="I844" s="157">
        <f>IF(A844="","",SUMIF($D$3:$D$844,"Inflow",$F$3:$F$844)-SUMIF($D$3:$D$844,"Outflow",$F$3:$F$844)+SUM(Bank_Accounts!$E$3:$E$22))</f>
      </c>
      <c r="J844" s="156"/>
      <c r="K844" s="64"/>
    </row>
    <row r="845" spans="1:11" x14ac:dyDescent="0.25">
      <c r="A845" s="65"/>
      <c r="B845" s="64"/>
      <c r="C845" s="64"/>
      <c r="D845" s="64"/>
      <c r="E845" s="64"/>
      <c r="F845" s="66"/>
      <c r="G845" s="64"/>
      <c r="H845" s="64"/>
      <c r="I845" s="157">
        <f>IF(A845="","",SUMIF($D$3:$D$845,"Inflow",$F$3:$F$845)-SUMIF($D$3:$D$845,"Outflow",$F$3:$F$845)+SUM(Bank_Accounts!$E$3:$E$22))</f>
      </c>
      <c r="J845" s="156"/>
      <c r="K845" s="64"/>
    </row>
    <row r="846" spans="1:11" x14ac:dyDescent="0.25">
      <c r="A846" s="65"/>
      <c r="B846" s="64"/>
      <c r="C846" s="64"/>
      <c r="D846" s="64"/>
      <c r="E846" s="64"/>
      <c r="F846" s="66"/>
      <c r="G846" s="64"/>
      <c r="H846" s="64"/>
      <c r="I846" s="157">
        <f>IF(A846="","",SUMIF($D$3:$D$846,"Inflow",$F$3:$F$846)-SUMIF($D$3:$D$846,"Outflow",$F$3:$F$846)+SUM(Bank_Accounts!$E$3:$E$22))</f>
      </c>
      <c r="J846" s="156"/>
      <c r="K846" s="64"/>
    </row>
    <row r="847" spans="1:11" x14ac:dyDescent="0.25">
      <c r="A847" s="65"/>
      <c r="B847" s="64"/>
      <c r="C847" s="64"/>
      <c r="D847" s="64"/>
      <c r="E847" s="64"/>
      <c r="F847" s="66"/>
      <c r="G847" s="64"/>
      <c r="H847" s="64"/>
      <c r="I847" s="157">
        <f>IF(A847="","",SUMIF($D$3:$D$847,"Inflow",$F$3:$F$847)-SUMIF($D$3:$D$847,"Outflow",$F$3:$F$847)+SUM(Bank_Accounts!$E$3:$E$22))</f>
      </c>
      <c r="J847" s="156"/>
      <c r="K847" s="64"/>
    </row>
    <row r="848" spans="1:11" x14ac:dyDescent="0.25">
      <c r="A848" s="65"/>
      <c r="B848" s="64"/>
      <c r="C848" s="64"/>
      <c r="D848" s="64"/>
      <c r="E848" s="64"/>
      <c r="F848" s="66"/>
      <c r="G848" s="64"/>
      <c r="H848" s="64"/>
      <c r="I848" s="157">
        <f>IF(A848="","",SUMIF($D$3:$D$848,"Inflow",$F$3:$F$848)-SUMIF($D$3:$D$848,"Outflow",$F$3:$F$848)+SUM(Bank_Accounts!$E$3:$E$22))</f>
      </c>
      <c r="J848" s="156"/>
      <c r="K848" s="64"/>
    </row>
    <row r="849" spans="1:11" x14ac:dyDescent="0.25">
      <c r="A849" s="65"/>
      <c r="B849" s="64"/>
      <c r="C849" s="64"/>
      <c r="D849" s="64"/>
      <c r="E849" s="64"/>
      <c r="F849" s="66"/>
      <c r="G849" s="64"/>
      <c r="H849" s="64"/>
      <c r="I849" s="157">
        <f>IF(A849="","",SUMIF($D$3:$D$849,"Inflow",$F$3:$F$849)-SUMIF($D$3:$D$849,"Outflow",$F$3:$F$849)+SUM(Bank_Accounts!$E$3:$E$22))</f>
      </c>
      <c r="J849" s="156"/>
      <c r="K849" s="64"/>
    </row>
    <row r="850" spans="1:11" x14ac:dyDescent="0.25">
      <c r="A850" s="65"/>
      <c r="B850" s="64"/>
      <c r="C850" s="64"/>
      <c r="D850" s="64"/>
      <c r="E850" s="64"/>
      <c r="F850" s="66"/>
      <c r="G850" s="64"/>
      <c r="H850" s="64"/>
      <c r="I850" s="157">
        <f>IF(A850="","",SUMIF($D$3:$D$850,"Inflow",$F$3:$F$850)-SUMIF($D$3:$D$850,"Outflow",$F$3:$F$850)+SUM(Bank_Accounts!$E$3:$E$22))</f>
      </c>
      <c r="J850" s="156"/>
      <c r="K850" s="64"/>
    </row>
    <row r="851" spans="1:11" x14ac:dyDescent="0.25">
      <c r="A851" s="65"/>
      <c r="B851" s="64"/>
      <c r="C851" s="64"/>
      <c r="D851" s="64"/>
      <c r="E851" s="64"/>
      <c r="F851" s="66"/>
      <c r="G851" s="64"/>
      <c r="H851" s="64"/>
      <c r="I851" s="157">
        <f>IF(A851="","",SUMIF($D$3:$D$851,"Inflow",$F$3:$F$851)-SUMIF($D$3:$D$851,"Outflow",$F$3:$F$851)+SUM(Bank_Accounts!$E$3:$E$22))</f>
      </c>
      <c r="J851" s="156"/>
      <c r="K851" s="64"/>
    </row>
    <row r="852" spans="1:11" x14ac:dyDescent="0.25">
      <c r="A852" s="65"/>
      <c r="B852" s="64"/>
      <c r="C852" s="64"/>
      <c r="D852" s="64"/>
      <c r="E852" s="64"/>
      <c r="F852" s="66"/>
      <c r="G852" s="64"/>
      <c r="H852" s="64"/>
      <c r="I852" s="157">
        <f>IF(A852="","",SUMIF($D$3:$D$852,"Inflow",$F$3:$F$852)-SUMIF($D$3:$D$852,"Outflow",$F$3:$F$852)+SUM(Bank_Accounts!$E$3:$E$22))</f>
      </c>
      <c r="J852" s="156"/>
      <c r="K852" s="64"/>
    </row>
    <row r="853" spans="1:11" x14ac:dyDescent="0.25">
      <c r="A853" s="65"/>
      <c r="B853" s="64"/>
      <c r="C853" s="64"/>
      <c r="D853" s="64"/>
      <c r="E853" s="64"/>
      <c r="F853" s="66"/>
      <c r="G853" s="64"/>
      <c r="H853" s="64"/>
      <c r="I853" s="157">
        <f>IF(A853="","",SUMIF($D$3:$D$853,"Inflow",$F$3:$F$853)-SUMIF($D$3:$D$853,"Outflow",$F$3:$F$853)+SUM(Bank_Accounts!$E$3:$E$22))</f>
      </c>
      <c r="J853" s="156"/>
      <c r="K853" s="64"/>
    </row>
    <row r="854" spans="1:11" x14ac:dyDescent="0.25">
      <c r="A854" s="65"/>
      <c r="B854" s="64"/>
      <c r="C854" s="64"/>
      <c r="D854" s="64"/>
      <c r="E854" s="64"/>
      <c r="F854" s="66"/>
      <c r="G854" s="64"/>
      <c r="H854" s="64"/>
      <c r="I854" s="157">
        <f>IF(A854="","",SUMIF($D$3:$D$854,"Inflow",$F$3:$F$854)-SUMIF($D$3:$D$854,"Outflow",$F$3:$F$854)+SUM(Bank_Accounts!$E$3:$E$22))</f>
      </c>
      <c r="J854" s="156"/>
      <c r="K854" s="64"/>
    </row>
    <row r="855" spans="1:11" x14ac:dyDescent="0.25">
      <c r="A855" s="65"/>
      <c r="B855" s="64"/>
      <c r="C855" s="64"/>
      <c r="D855" s="64"/>
      <c r="E855" s="64"/>
      <c r="F855" s="66"/>
      <c r="G855" s="64"/>
      <c r="H855" s="64"/>
      <c r="I855" s="157">
        <f>IF(A855="","",SUMIF($D$3:$D$855,"Inflow",$F$3:$F$855)-SUMIF($D$3:$D$855,"Outflow",$F$3:$F$855)+SUM(Bank_Accounts!$E$3:$E$22))</f>
      </c>
      <c r="J855" s="156"/>
      <c r="K855" s="64"/>
    </row>
    <row r="856" spans="1:11" x14ac:dyDescent="0.25">
      <c r="A856" s="65"/>
      <c r="B856" s="64"/>
      <c r="C856" s="64"/>
      <c r="D856" s="64"/>
      <c r="E856" s="64"/>
      <c r="F856" s="66"/>
      <c r="G856" s="64"/>
      <c r="H856" s="64"/>
      <c r="I856" s="157">
        <f>IF(A856="","",SUMIF($D$3:$D$856,"Inflow",$F$3:$F$856)-SUMIF($D$3:$D$856,"Outflow",$F$3:$F$856)+SUM(Bank_Accounts!$E$3:$E$22))</f>
      </c>
      <c r="J856" s="156"/>
      <c r="K856" s="64"/>
    </row>
    <row r="857" spans="1:11" x14ac:dyDescent="0.25">
      <c r="A857" s="65"/>
      <c r="B857" s="64"/>
      <c r="C857" s="64"/>
      <c r="D857" s="64"/>
      <c r="E857" s="64"/>
      <c r="F857" s="66"/>
      <c r="G857" s="64"/>
      <c r="H857" s="64"/>
      <c r="I857" s="157">
        <f>IF(A857="","",SUMIF($D$3:$D$857,"Inflow",$F$3:$F$857)-SUMIF($D$3:$D$857,"Outflow",$F$3:$F$857)+SUM(Bank_Accounts!$E$3:$E$22))</f>
      </c>
      <c r="J857" s="156"/>
      <c r="K857" s="64"/>
    </row>
    <row r="858" spans="1:11" x14ac:dyDescent="0.25">
      <c r="A858" s="65"/>
      <c r="B858" s="64"/>
      <c r="C858" s="64"/>
      <c r="D858" s="64"/>
      <c r="E858" s="64"/>
      <c r="F858" s="66"/>
      <c r="G858" s="64"/>
      <c r="H858" s="64"/>
      <c r="I858" s="157">
        <f>IF(A858="","",SUMIF($D$3:$D$858,"Inflow",$F$3:$F$858)-SUMIF($D$3:$D$858,"Outflow",$F$3:$F$858)+SUM(Bank_Accounts!$E$3:$E$22))</f>
      </c>
      <c r="J858" s="156"/>
      <c r="K858" s="64"/>
    </row>
    <row r="859" spans="1:11" x14ac:dyDescent="0.25">
      <c r="A859" s="65"/>
      <c r="B859" s="64"/>
      <c r="C859" s="64"/>
      <c r="D859" s="64"/>
      <c r="E859" s="64"/>
      <c r="F859" s="66"/>
      <c r="G859" s="64"/>
      <c r="H859" s="64"/>
      <c r="I859" s="157">
        <f>IF(A859="","",SUMIF($D$3:$D$859,"Inflow",$F$3:$F$859)-SUMIF($D$3:$D$859,"Outflow",$F$3:$F$859)+SUM(Bank_Accounts!$E$3:$E$22))</f>
      </c>
      <c r="J859" s="156"/>
      <c r="K859" s="64"/>
    </row>
    <row r="860" spans="1:11" x14ac:dyDescent="0.25">
      <c r="A860" s="65"/>
      <c r="B860" s="64"/>
      <c r="C860" s="64"/>
      <c r="D860" s="64"/>
      <c r="E860" s="64"/>
      <c r="F860" s="66"/>
      <c r="G860" s="64"/>
      <c r="H860" s="64"/>
      <c r="I860" s="157">
        <f>IF(A860="","",SUMIF($D$3:$D$860,"Inflow",$F$3:$F$860)-SUMIF($D$3:$D$860,"Outflow",$F$3:$F$860)+SUM(Bank_Accounts!$E$3:$E$22))</f>
      </c>
      <c r="J860" s="156"/>
      <c r="K860" s="64"/>
    </row>
    <row r="861" spans="1:11" x14ac:dyDescent="0.25">
      <c r="A861" s="65"/>
      <c r="B861" s="64"/>
      <c r="C861" s="64"/>
      <c r="D861" s="64"/>
      <c r="E861" s="64"/>
      <c r="F861" s="66"/>
      <c r="G861" s="64"/>
      <c r="H861" s="64"/>
      <c r="I861" s="157">
        <f>IF(A861="","",SUMIF($D$3:$D$861,"Inflow",$F$3:$F$861)-SUMIF($D$3:$D$861,"Outflow",$F$3:$F$861)+SUM(Bank_Accounts!$E$3:$E$22))</f>
      </c>
      <c r="J861" s="156"/>
      <c r="K861" s="64"/>
    </row>
    <row r="862" spans="1:11" x14ac:dyDescent="0.25">
      <c r="A862" s="65"/>
      <c r="B862" s="64"/>
      <c r="C862" s="64"/>
      <c r="D862" s="64"/>
      <c r="E862" s="64"/>
      <c r="F862" s="66"/>
      <c r="G862" s="64"/>
      <c r="H862" s="64"/>
      <c r="I862" s="157">
        <f>IF(A862="","",SUMIF($D$3:$D$862,"Inflow",$F$3:$F$862)-SUMIF($D$3:$D$862,"Outflow",$F$3:$F$862)+SUM(Bank_Accounts!$E$3:$E$22))</f>
      </c>
      <c r="J862" s="156"/>
      <c r="K862" s="64"/>
    </row>
    <row r="863" spans="1:11" x14ac:dyDescent="0.25">
      <c r="A863" s="65"/>
      <c r="B863" s="64"/>
      <c r="C863" s="64"/>
      <c r="D863" s="64"/>
      <c r="E863" s="64"/>
      <c r="F863" s="66"/>
      <c r="G863" s="64"/>
      <c r="H863" s="64"/>
      <c r="I863" s="157">
        <f>IF(A863="","",SUMIF($D$3:$D$863,"Inflow",$F$3:$F$863)-SUMIF($D$3:$D$863,"Outflow",$F$3:$F$863)+SUM(Bank_Accounts!$E$3:$E$22))</f>
      </c>
      <c r="J863" s="156"/>
      <c r="K863" s="64"/>
    </row>
    <row r="864" spans="1:11" x14ac:dyDescent="0.25">
      <c r="A864" s="65"/>
      <c r="B864" s="64"/>
      <c r="C864" s="64"/>
      <c r="D864" s="64"/>
      <c r="E864" s="64"/>
      <c r="F864" s="66"/>
      <c r="G864" s="64"/>
      <c r="H864" s="64"/>
      <c r="I864" s="157">
        <f>IF(A864="","",SUMIF($D$3:$D$864,"Inflow",$F$3:$F$864)-SUMIF($D$3:$D$864,"Outflow",$F$3:$F$864)+SUM(Bank_Accounts!$E$3:$E$22))</f>
      </c>
      <c r="J864" s="156"/>
      <c r="K864" s="64"/>
    </row>
    <row r="865" spans="1:11" x14ac:dyDescent="0.25">
      <c r="A865" s="65"/>
      <c r="B865" s="64"/>
      <c r="C865" s="64"/>
      <c r="D865" s="64"/>
      <c r="E865" s="64"/>
      <c r="F865" s="66"/>
      <c r="G865" s="64"/>
      <c r="H865" s="64"/>
      <c r="I865" s="157">
        <f>IF(A865="","",SUMIF($D$3:$D$865,"Inflow",$F$3:$F$865)-SUMIF($D$3:$D$865,"Outflow",$F$3:$F$865)+SUM(Bank_Accounts!$E$3:$E$22))</f>
      </c>
      <c r="J865" s="156"/>
      <c r="K865" s="64"/>
    </row>
    <row r="866" spans="1:11" x14ac:dyDescent="0.25">
      <c r="A866" s="65"/>
      <c r="B866" s="64"/>
      <c r="C866" s="64"/>
      <c r="D866" s="64"/>
      <c r="E866" s="64"/>
      <c r="F866" s="66"/>
      <c r="G866" s="64"/>
      <c r="H866" s="64"/>
      <c r="I866" s="157">
        <f>IF(A866="","",SUMIF($D$3:$D$866,"Inflow",$F$3:$F$866)-SUMIF($D$3:$D$866,"Outflow",$F$3:$F$866)+SUM(Bank_Accounts!$E$3:$E$22))</f>
      </c>
      <c r="J866" s="156"/>
      <c r="K866" s="64"/>
    </row>
    <row r="867" spans="1:11" x14ac:dyDescent="0.25">
      <c r="A867" s="65"/>
      <c r="B867" s="64"/>
      <c r="C867" s="64"/>
      <c r="D867" s="64"/>
      <c r="E867" s="64"/>
      <c r="F867" s="66"/>
      <c r="G867" s="64"/>
      <c r="H867" s="64"/>
      <c r="I867" s="157">
        <f>IF(A867="","",SUMIF($D$3:$D$867,"Inflow",$F$3:$F$867)-SUMIF($D$3:$D$867,"Outflow",$F$3:$F$867)+SUM(Bank_Accounts!$E$3:$E$22))</f>
      </c>
      <c r="J867" s="156"/>
      <c r="K867" s="64"/>
    </row>
    <row r="868" spans="1:11" x14ac:dyDescent="0.25">
      <c r="A868" s="65"/>
      <c r="B868" s="64"/>
      <c r="C868" s="64"/>
      <c r="D868" s="64"/>
      <c r="E868" s="64"/>
      <c r="F868" s="66"/>
      <c r="G868" s="64"/>
      <c r="H868" s="64"/>
      <c r="I868" s="157">
        <f>IF(A868="","",SUMIF($D$3:$D$868,"Inflow",$F$3:$F$868)-SUMIF($D$3:$D$868,"Outflow",$F$3:$F$868)+SUM(Bank_Accounts!$E$3:$E$22))</f>
      </c>
      <c r="J868" s="156"/>
      <c r="K868" s="64"/>
    </row>
    <row r="869" spans="1:11" x14ac:dyDescent="0.25">
      <c r="A869" s="65"/>
      <c r="B869" s="64"/>
      <c r="C869" s="64"/>
      <c r="D869" s="64"/>
      <c r="E869" s="64"/>
      <c r="F869" s="66"/>
      <c r="G869" s="64"/>
      <c r="H869" s="64"/>
      <c r="I869" s="157">
        <f>IF(A869="","",SUMIF($D$3:$D$869,"Inflow",$F$3:$F$869)-SUMIF($D$3:$D$869,"Outflow",$F$3:$F$869)+SUM(Bank_Accounts!$E$3:$E$22))</f>
      </c>
      <c r="J869" s="156"/>
      <c r="K869" s="64"/>
    </row>
    <row r="870" spans="1:11" x14ac:dyDescent="0.25">
      <c r="A870" s="65"/>
      <c r="B870" s="64"/>
      <c r="C870" s="64"/>
      <c r="D870" s="64"/>
      <c r="E870" s="64"/>
      <c r="F870" s="66"/>
      <c r="G870" s="64"/>
      <c r="H870" s="64"/>
      <c r="I870" s="157">
        <f>IF(A870="","",SUMIF($D$3:$D$870,"Inflow",$F$3:$F$870)-SUMIF($D$3:$D$870,"Outflow",$F$3:$F$870)+SUM(Bank_Accounts!$E$3:$E$22))</f>
      </c>
      <c r="J870" s="156"/>
      <c r="K870" s="64"/>
    </row>
    <row r="871" spans="1:11" x14ac:dyDescent="0.25">
      <c r="A871" s="65"/>
      <c r="B871" s="64"/>
      <c r="C871" s="64"/>
      <c r="D871" s="64"/>
      <c r="E871" s="64"/>
      <c r="F871" s="66"/>
      <c r="G871" s="64"/>
      <c r="H871" s="64"/>
      <c r="I871" s="157">
        <f>IF(A871="","",SUMIF($D$3:$D$871,"Inflow",$F$3:$F$871)-SUMIF($D$3:$D$871,"Outflow",$F$3:$F$871)+SUM(Bank_Accounts!$E$3:$E$22))</f>
      </c>
      <c r="J871" s="156"/>
      <c r="K871" s="64"/>
    </row>
    <row r="872" spans="1:11" x14ac:dyDescent="0.25">
      <c r="A872" s="65"/>
      <c r="B872" s="64"/>
      <c r="C872" s="64"/>
      <c r="D872" s="64"/>
      <c r="E872" s="64"/>
      <c r="F872" s="66"/>
      <c r="G872" s="64"/>
      <c r="H872" s="64"/>
      <c r="I872" s="157">
        <f>IF(A872="","",SUMIF($D$3:$D$872,"Inflow",$F$3:$F$872)-SUMIF($D$3:$D$872,"Outflow",$F$3:$F$872)+SUM(Bank_Accounts!$E$3:$E$22))</f>
      </c>
      <c r="J872" s="156"/>
      <c r="K872" s="64"/>
    </row>
    <row r="873" spans="1:11" x14ac:dyDescent="0.25">
      <c r="A873" s="65"/>
      <c r="B873" s="64"/>
      <c r="C873" s="64"/>
      <c r="D873" s="64"/>
      <c r="E873" s="64"/>
      <c r="F873" s="66"/>
      <c r="G873" s="64"/>
      <c r="H873" s="64"/>
      <c r="I873" s="157">
        <f>IF(A873="","",SUMIF($D$3:$D$873,"Inflow",$F$3:$F$873)-SUMIF($D$3:$D$873,"Outflow",$F$3:$F$873)+SUM(Bank_Accounts!$E$3:$E$22))</f>
      </c>
      <c r="J873" s="156"/>
      <c r="K873" s="64"/>
    </row>
    <row r="874" spans="1:11" x14ac:dyDescent="0.25">
      <c r="A874" s="65"/>
      <c r="B874" s="64"/>
      <c r="C874" s="64"/>
      <c r="D874" s="64"/>
      <c r="E874" s="64"/>
      <c r="F874" s="66"/>
      <c r="G874" s="64"/>
      <c r="H874" s="64"/>
      <c r="I874" s="157">
        <f>IF(A874="","",SUMIF($D$3:$D$874,"Inflow",$F$3:$F$874)-SUMIF($D$3:$D$874,"Outflow",$F$3:$F$874)+SUM(Bank_Accounts!$E$3:$E$22))</f>
      </c>
      <c r="J874" s="156"/>
      <c r="K874" s="64"/>
    </row>
    <row r="875" spans="1:11" x14ac:dyDescent="0.25">
      <c r="A875" s="65"/>
      <c r="B875" s="64"/>
      <c r="C875" s="64"/>
      <c r="D875" s="64"/>
      <c r="E875" s="64"/>
      <c r="F875" s="66"/>
      <c r="G875" s="64"/>
      <c r="H875" s="64"/>
      <c r="I875" s="157">
        <f>IF(A875="","",SUMIF($D$3:$D$875,"Inflow",$F$3:$F$875)-SUMIF($D$3:$D$875,"Outflow",$F$3:$F$875)+SUM(Bank_Accounts!$E$3:$E$22))</f>
      </c>
      <c r="J875" s="156"/>
      <c r="K875" s="64"/>
    </row>
    <row r="876" spans="1:11" x14ac:dyDescent="0.25">
      <c r="A876" s="65"/>
      <c r="B876" s="64"/>
      <c r="C876" s="64"/>
      <c r="D876" s="64"/>
      <c r="E876" s="64"/>
      <c r="F876" s="66"/>
      <c r="G876" s="64"/>
      <c r="H876" s="64"/>
      <c r="I876" s="157">
        <f>IF(A876="","",SUMIF($D$3:$D$876,"Inflow",$F$3:$F$876)-SUMIF($D$3:$D$876,"Outflow",$F$3:$F$876)+SUM(Bank_Accounts!$E$3:$E$22))</f>
      </c>
      <c r="J876" s="156"/>
      <c r="K876" s="64"/>
    </row>
    <row r="877" spans="1:11" x14ac:dyDescent="0.25">
      <c r="A877" s="65"/>
      <c r="B877" s="64"/>
      <c r="C877" s="64"/>
      <c r="D877" s="64"/>
      <c r="E877" s="64"/>
      <c r="F877" s="66"/>
      <c r="G877" s="64"/>
      <c r="H877" s="64"/>
      <c r="I877" s="157">
        <f>IF(A877="","",SUMIF($D$3:$D$877,"Inflow",$F$3:$F$877)-SUMIF($D$3:$D$877,"Outflow",$F$3:$F$877)+SUM(Bank_Accounts!$E$3:$E$22))</f>
      </c>
      <c r="J877" s="156"/>
      <c r="K877" s="64"/>
    </row>
    <row r="878" spans="1:11" x14ac:dyDescent="0.25">
      <c r="A878" s="65"/>
      <c r="B878" s="64"/>
      <c r="C878" s="64"/>
      <c r="D878" s="64"/>
      <c r="E878" s="64"/>
      <c r="F878" s="66"/>
      <c r="G878" s="64"/>
      <c r="H878" s="64"/>
      <c r="I878" s="157">
        <f>IF(A878="","",SUMIF($D$3:$D$878,"Inflow",$F$3:$F$878)-SUMIF($D$3:$D$878,"Outflow",$F$3:$F$878)+SUM(Bank_Accounts!$E$3:$E$22))</f>
      </c>
      <c r="J878" s="156"/>
      <c r="K878" s="64"/>
    </row>
    <row r="879" spans="1:11" x14ac:dyDescent="0.25">
      <c r="A879" s="65"/>
      <c r="B879" s="64"/>
      <c r="C879" s="64"/>
      <c r="D879" s="64"/>
      <c r="E879" s="64"/>
      <c r="F879" s="66"/>
      <c r="G879" s="64"/>
      <c r="H879" s="64"/>
      <c r="I879" s="157">
        <f>IF(A879="","",SUMIF($D$3:$D$879,"Inflow",$F$3:$F$879)-SUMIF($D$3:$D$879,"Outflow",$F$3:$F$879)+SUM(Bank_Accounts!$E$3:$E$22))</f>
      </c>
      <c r="J879" s="156"/>
      <c r="K879" s="64"/>
    </row>
    <row r="880" spans="1:11" x14ac:dyDescent="0.25">
      <c r="A880" s="65"/>
      <c r="B880" s="64"/>
      <c r="C880" s="64"/>
      <c r="D880" s="64"/>
      <c r="E880" s="64"/>
      <c r="F880" s="66"/>
      <c r="G880" s="64"/>
      <c r="H880" s="64"/>
      <c r="I880" s="157">
        <f>IF(A880="","",SUMIF($D$3:$D$880,"Inflow",$F$3:$F$880)-SUMIF($D$3:$D$880,"Outflow",$F$3:$F$880)+SUM(Bank_Accounts!$E$3:$E$22))</f>
      </c>
      <c r="J880" s="156"/>
      <c r="K880" s="64"/>
    </row>
    <row r="881" spans="1:11" x14ac:dyDescent="0.25">
      <c r="A881" s="65"/>
      <c r="B881" s="64"/>
      <c r="C881" s="64"/>
      <c r="D881" s="64"/>
      <c r="E881" s="64"/>
      <c r="F881" s="66"/>
      <c r="G881" s="64"/>
      <c r="H881" s="64"/>
      <c r="I881" s="157">
        <f>IF(A881="","",SUMIF($D$3:$D$881,"Inflow",$F$3:$F$881)-SUMIF($D$3:$D$881,"Outflow",$F$3:$F$881)+SUM(Bank_Accounts!$E$3:$E$22))</f>
      </c>
      <c r="J881" s="156"/>
      <c r="K881" s="64"/>
    </row>
    <row r="882" spans="1:11" x14ac:dyDescent="0.25">
      <c r="A882" s="65"/>
      <c r="B882" s="64"/>
      <c r="C882" s="64"/>
      <c r="D882" s="64"/>
      <c r="E882" s="64"/>
      <c r="F882" s="66"/>
      <c r="G882" s="64"/>
      <c r="H882" s="64"/>
      <c r="I882" s="157">
        <f>IF(A882="","",SUMIF($D$3:$D$882,"Inflow",$F$3:$F$882)-SUMIF($D$3:$D$882,"Outflow",$F$3:$F$882)+SUM(Bank_Accounts!$E$3:$E$22))</f>
      </c>
      <c r="J882" s="156"/>
      <c r="K882" s="64"/>
    </row>
    <row r="883" spans="1:11" x14ac:dyDescent="0.25">
      <c r="A883" s="65"/>
      <c r="B883" s="64"/>
      <c r="C883" s="64"/>
      <c r="D883" s="64"/>
      <c r="E883" s="64"/>
      <c r="F883" s="66"/>
      <c r="G883" s="64"/>
      <c r="H883" s="64"/>
      <c r="I883" s="157">
        <f>IF(A883="","",SUMIF($D$3:$D$883,"Inflow",$F$3:$F$883)-SUMIF($D$3:$D$883,"Outflow",$F$3:$F$883)+SUM(Bank_Accounts!$E$3:$E$22))</f>
      </c>
      <c r="J883" s="156"/>
      <c r="K883" s="64"/>
    </row>
    <row r="884" spans="1:11" x14ac:dyDescent="0.25">
      <c r="A884" s="65"/>
      <c r="B884" s="64"/>
      <c r="C884" s="64"/>
      <c r="D884" s="64"/>
      <c r="E884" s="64"/>
      <c r="F884" s="66"/>
      <c r="G884" s="64"/>
      <c r="H884" s="64"/>
      <c r="I884" s="157">
        <f>IF(A884="","",SUMIF($D$3:$D$884,"Inflow",$F$3:$F$884)-SUMIF($D$3:$D$884,"Outflow",$F$3:$F$884)+SUM(Bank_Accounts!$E$3:$E$22))</f>
      </c>
      <c r="J884" s="156"/>
      <c r="K884" s="64"/>
    </row>
    <row r="885" spans="1:11" x14ac:dyDescent="0.25">
      <c r="A885" s="65"/>
      <c r="B885" s="64"/>
      <c r="C885" s="64"/>
      <c r="D885" s="64"/>
      <c r="E885" s="64"/>
      <c r="F885" s="66"/>
      <c r="G885" s="64"/>
      <c r="H885" s="64"/>
      <c r="I885" s="157">
        <f>IF(A885="","",SUMIF($D$3:$D$885,"Inflow",$F$3:$F$885)-SUMIF($D$3:$D$885,"Outflow",$F$3:$F$885)+SUM(Bank_Accounts!$E$3:$E$22))</f>
      </c>
      <c r="J885" s="156"/>
      <c r="K885" s="64"/>
    </row>
    <row r="886" spans="1:11" x14ac:dyDescent="0.25">
      <c r="A886" s="65"/>
      <c r="B886" s="64"/>
      <c r="C886" s="64"/>
      <c r="D886" s="64"/>
      <c r="E886" s="64"/>
      <c r="F886" s="66"/>
      <c r="G886" s="64"/>
      <c r="H886" s="64"/>
      <c r="I886" s="157">
        <f>IF(A886="","",SUMIF($D$3:$D$886,"Inflow",$F$3:$F$886)-SUMIF($D$3:$D$886,"Outflow",$F$3:$F$886)+SUM(Bank_Accounts!$E$3:$E$22))</f>
      </c>
      <c r="J886" s="156"/>
      <c r="K886" s="64"/>
    </row>
    <row r="887" spans="1:11" x14ac:dyDescent="0.25">
      <c r="A887" s="65"/>
      <c r="B887" s="64"/>
      <c r="C887" s="64"/>
      <c r="D887" s="64"/>
      <c r="E887" s="64"/>
      <c r="F887" s="66"/>
      <c r="G887" s="64"/>
      <c r="H887" s="64"/>
      <c r="I887" s="157">
        <f>IF(A887="","",SUMIF($D$3:$D$887,"Inflow",$F$3:$F$887)-SUMIF($D$3:$D$887,"Outflow",$F$3:$F$887)+SUM(Bank_Accounts!$E$3:$E$22))</f>
      </c>
      <c r="J887" s="156"/>
      <c r="K887" s="64"/>
    </row>
    <row r="888" spans="1:11" x14ac:dyDescent="0.25">
      <c r="A888" s="65"/>
      <c r="B888" s="64"/>
      <c r="C888" s="64"/>
      <c r="D888" s="64"/>
      <c r="E888" s="64"/>
      <c r="F888" s="66"/>
      <c r="G888" s="64"/>
      <c r="H888" s="64"/>
      <c r="I888" s="157">
        <f>IF(A888="","",SUMIF($D$3:$D$888,"Inflow",$F$3:$F$888)-SUMIF($D$3:$D$888,"Outflow",$F$3:$F$888)+SUM(Bank_Accounts!$E$3:$E$22))</f>
      </c>
      <c r="J888" s="156"/>
      <c r="K888" s="64"/>
    </row>
    <row r="889" spans="1:11" x14ac:dyDescent="0.25">
      <c r="A889" s="65"/>
      <c r="B889" s="64"/>
      <c r="C889" s="64"/>
      <c r="D889" s="64"/>
      <c r="E889" s="64"/>
      <c r="F889" s="66"/>
      <c r="G889" s="64"/>
      <c r="H889" s="64"/>
      <c r="I889" s="157">
        <f>IF(A889="","",SUMIF($D$3:$D$889,"Inflow",$F$3:$F$889)-SUMIF($D$3:$D$889,"Outflow",$F$3:$F$889)+SUM(Bank_Accounts!$E$3:$E$22))</f>
      </c>
      <c r="J889" s="156"/>
      <c r="K889" s="64"/>
    </row>
    <row r="890" spans="1:11" x14ac:dyDescent="0.25">
      <c r="A890" s="65"/>
      <c r="B890" s="64"/>
      <c r="C890" s="64"/>
      <c r="D890" s="64"/>
      <c r="E890" s="64"/>
      <c r="F890" s="66"/>
      <c r="G890" s="64"/>
      <c r="H890" s="64"/>
      <c r="I890" s="157">
        <f>IF(A890="","",SUMIF($D$3:$D$890,"Inflow",$F$3:$F$890)-SUMIF($D$3:$D$890,"Outflow",$F$3:$F$890)+SUM(Bank_Accounts!$E$3:$E$22))</f>
      </c>
      <c r="J890" s="156"/>
      <c r="K890" s="64"/>
    </row>
    <row r="891" spans="1:11" x14ac:dyDescent="0.25">
      <c r="A891" s="65"/>
      <c r="B891" s="64"/>
      <c r="C891" s="64"/>
      <c r="D891" s="64"/>
      <c r="E891" s="64"/>
      <c r="F891" s="66"/>
      <c r="G891" s="64"/>
      <c r="H891" s="64"/>
      <c r="I891" s="157">
        <f>IF(A891="","",SUMIF($D$3:$D$891,"Inflow",$F$3:$F$891)-SUMIF($D$3:$D$891,"Outflow",$F$3:$F$891)+SUM(Bank_Accounts!$E$3:$E$22))</f>
      </c>
      <c r="J891" s="156"/>
      <c r="K891" s="64"/>
    </row>
    <row r="892" spans="1:11" x14ac:dyDescent="0.25">
      <c r="A892" s="65"/>
      <c r="B892" s="64"/>
      <c r="C892" s="64"/>
      <c r="D892" s="64"/>
      <c r="E892" s="64"/>
      <c r="F892" s="66"/>
      <c r="G892" s="64"/>
      <c r="H892" s="64"/>
      <c r="I892" s="157">
        <f>IF(A892="","",SUMIF($D$3:$D$892,"Inflow",$F$3:$F$892)-SUMIF($D$3:$D$892,"Outflow",$F$3:$F$892)+SUM(Bank_Accounts!$E$3:$E$22))</f>
      </c>
      <c r="J892" s="156"/>
      <c r="K892" s="64"/>
    </row>
    <row r="893" spans="1:11" x14ac:dyDescent="0.25">
      <c r="A893" s="65"/>
      <c r="B893" s="64"/>
      <c r="C893" s="64"/>
      <c r="D893" s="64"/>
      <c r="E893" s="64"/>
      <c r="F893" s="66"/>
      <c r="G893" s="64"/>
      <c r="H893" s="64"/>
      <c r="I893" s="157">
        <f>IF(A893="","",SUMIF($D$3:$D$893,"Inflow",$F$3:$F$893)-SUMIF($D$3:$D$893,"Outflow",$F$3:$F$893)+SUM(Bank_Accounts!$E$3:$E$22))</f>
      </c>
      <c r="J893" s="156"/>
      <c r="K893" s="64"/>
    </row>
    <row r="894" spans="1:11" x14ac:dyDescent="0.25">
      <c r="A894" s="65"/>
      <c r="B894" s="64"/>
      <c r="C894" s="64"/>
      <c r="D894" s="64"/>
      <c r="E894" s="64"/>
      <c r="F894" s="66"/>
      <c r="G894" s="64"/>
      <c r="H894" s="64"/>
      <c r="I894" s="157">
        <f>IF(A894="","",SUMIF($D$3:$D$894,"Inflow",$F$3:$F$894)-SUMIF($D$3:$D$894,"Outflow",$F$3:$F$894)+SUM(Bank_Accounts!$E$3:$E$22))</f>
      </c>
      <c r="J894" s="156"/>
      <c r="K894" s="64"/>
    </row>
    <row r="895" spans="1:11" x14ac:dyDescent="0.25">
      <c r="A895" s="65"/>
      <c r="B895" s="64"/>
      <c r="C895" s="64"/>
      <c r="D895" s="64"/>
      <c r="E895" s="64"/>
      <c r="F895" s="66"/>
      <c r="G895" s="64"/>
      <c r="H895" s="64"/>
      <c r="I895" s="157">
        <f>IF(A895="","",SUMIF($D$3:$D$895,"Inflow",$F$3:$F$895)-SUMIF($D$3:$D$895,"Outflow",$F$3:$F$895)+SUM(Bank_Accounts!$E$3:$E$22))</f>
      </c>
      <c r="J895" s="156"/>
      <c r="K895" s="64"/>
    </row>
    <row r="896" spans="1:11" x14ac:dyDescent="0.25">
      <c r="A896" s="65"/>
      <c r="B896" s="64"/>
      <c r="C896" s="64"/>
      <c r="D896" s="64"/>
      <c r="E896" s="64"/>
      <c r="F896" s="66"/>
      <c r="G896" s="64"/>
      <c r="H896" s="64"/>
      <c r="I896" s="157">
        <f>IF(A896="","",SUMIF($D$3:$D$896,"Inflow",$F$3:$F$896)-SUMIF($D$3:$D$896,"Outflow",$F$3:$F$896)+SUM(Bank_Accounts!$E$3:$E$22))</f>
      </c>
      <c r="J896" s="156"/>
      <c r="K896" s="64"/>
    </row>
    <row r="897" spans="1:11" x14ac:dyDescent="0.25">
      <c r="A897" s="65"/>
      <c r="B897" s="64"/>
      <c r="C897" s="64"/>
      <c r="D897" s="64"/>
      <c r="E897" s="64"/>
      <c r="F897" s="66"/>
      <c r="G897" s="64"/>
      <c r="H897" s="64"/>
      <c r="I897" s="157">
        <f>IF(A897="","",SUMIF($D$3:$D$897,"Inflow",$F$3:$F$897)-SUMIF($D$3:$D$897,"Outflow",$F$3:$F$897)+SUM(Bank_Accounts!$E$3:$E$22))</f>
      </c>
      <c r="J897" s="156"/>
      <c r="K897" s="64"/>
    </row>
    <row r="898" spans="1:11" x14ac:dyDescent="0.25">
      <c r="A898" s="65"/>
      <c r="B898" s="64"/>
      <c r="C898" s="64"/>
      <c r="D898" s="64"/>
      <c r="E898" s="64"/>
      <c r="F898" s="66"/>
      <c r="G898" s="64"/>
      <c r="H898" s="64"/>
      <c r="I898" s="157">
        <f>IF(A898="","",SUMIF($D$3:$D$898,"Inflow",$F$3:$F$898)-SUMIF($D$3:$D$898,"Outflow",$F$3:$F$898)+SUM(Bank_Accounts!$E$3:$E$22))</f>
      </c>
      <c r="J898" s="156"/>
      <c r="K898" s="64"/>
    </row>
    <row r="899" spans="1:11" x14ac:dyDescent="0.25">
      <c r="A899" s="65"/>
      <c r="B899" s="64"/>
      <c r="C899" s="64"/>
      <c r="D899" s="64"/>
      <c r="E899" s="64"/>
      <c r="F899" s="66"/>
      <c r="G899" s="64"/>
      <c r="H899" s="64"/>
      <c r="I899" s="157">
        <f>IF(A899="","",SUMIF($D$3:$D$899,"Inflow",$F$3:$F$899)-SUMIF($D$3:$D$899,"Outflow",$F$3:$F$899)+SUM(Bank_Accounts!$E$3:$E$22))</f>
      </c>
      <c r="J899" s="156"/>
      <c r="K899" s="64"/>
    </row>
    <row r="900" spans="1:11" x14ac:dyDescent="0.25">
      <c r="A900" s="65"/>
      <c r="B900" s="64"/>
      <c r="C900" s="64"/>
      <c r="D900" s="64"/>
      <c r="E900" s="64"/>
      <c r="F900" s="66"/>
      <c r="G900" s="64"/>
      <c r="H900" s="64"/>
      <c r="I900" s="157">
        <f>IF(A900="","",SUMIF($D$3:$D$900,"Inflow",$F$3:$F$900)-SUMIF($D$3:$D$900,"Outflow",$F$3:$F$900)+SUM(Bank_Accounts!$E$3:$E$22))</f>
      </c>
      <c r="J900" s="156"/>
      <c r="K900" s="64"/>
    </row>
    <row r="901" spans="1:11" x14ac:dyDescent="0.25">
      <c r="A901" s="65"/>
      <c r="B901" s="64"/>
      <c r="C901" s="64"/>
      <c r="D901" s="64"/>
      <c r="E901" s="64"/>
      <c r="F901" s="66"/>
      <c r="G901" s="64"/>
      <c r="H901" s="64"/>
      <c r="I901" s="157">
        <f>IF(A901="","",SUMIF($D$3:$D$901,"Inflow",$F$3:$F$901)-SUMIF($D$3:$D$901,"Outflow",$F$3:$F$901)+SUM(Bank_Accounts!$E$3:$E$22))</f>
      </c>
      <c r="J901" s="156"/>
      <c r="K901" s="64"/>
    </row>
    <row r="902" spans="1:11" x14ac:dyDescent="0.25">
      <c r="A902" s="65"/>
      <c r="B902" s="64"/>
      <c r="C902" s="64"/>
      <c r="D902" s="64"/>
      <c r="E902" s="64"/>
      <c r="F902" s="66"/>
      <c r="G902" s="64"/>
      <c r="H902" s="64"/>
      <c r="I902" s="157">
        <f>IF(A902="","",SUMIF($D$3:$D$902,"Inflow",$F$3:$F$902)-SUMIF($D$3:$D$902,"Outflow",$F$3:$F$902)+SUM(Bank_Accounts!$E$3:$E$22))</f>
      </c>
      <c r="J902" s="156"/>
      <c r="K902" s="64"/>
    </row>
    <row r="903" spans="1:11" x14ac:dyDescent="0.25">
      <c r="A903" s="65"/>
      <c r="B903" s="64"/>
      <c r="C903" s="64"/>
      <c r="D903" s="64"/>
      <c r="E903" s="64"/>
      <c r="F903" s="66"/>
      <c r="G903" s="64"/>
      <c r="H903" s="64"/>
      <c r="I903" s="157">
        <f>IF(A903="","",SUMIF($D$3:$D$903,"Inflow",$F$3:$F$903)-SUMIF($D$3:$D$903,"Outflow",$F$3:$F$903)+SUM(Bank_Accounts!$E$3:$E$22))</f>
      </c>
      <c r="J903" s="156"/>
      <c r="K903" s="64"/>
    </row>
    <row r="904" spans="1:11" x14ac:dyDescent="0.25">
      <c r="A904" s="65"/>
      <c r="B904" s="64"/>
      <c r="C904" s="64"/>
      <c r="D904" s="64"/>
      <c r="E904" s="64"/>
      <c r="F904" s="66"/>
      <c r="G904" s="64"/>
      <c r="H904" s="64"/>
      <c r="I904" s="157">
        <f>IF(A904="","",SUMIF($D$3:$D$904,"Inflow",$F$3:$F$904)-SUMIF($D$3:$D$904,"Outflow",$F$3:$F$904)+SUM(Bank_Accounts!$E$3:$E$22))</f>
      </c>
      <c r="J904" s="156"/>
      <c r="K904" s="64"/>
    </row>
    <row r="905" spans="1:11" x14ac:dyDescent="0.25">
      <c r="A905" s="65"/>
      <c r="B905" s="64"/>
      <c r="C905" s="64"/>
      <c r="D905" s="64"/>
      <c r="E905" s="64"/>
      <c r="F905" s="66"/>
      <c r="G905" s="64"/>
      <c r="H905" s="64"/>
      <c r="I905" s="157">
        <f>IF(A905="","",SUMIF($D$3:$D$905,"Inflow",$F$3:$F$905)-SUMIF($D$3:$D$905,"Outflow",$F$3:$F$905)+SUM(Bank_Accounts!$E$3:$E$22))</f>
      </c>
      <c r="J905" s="156"/>
      <c r="K905" s="64"/>
    </row>
    <row r="906" spans="1:11" x14ac:dyDescent="0.25">
      <c r="A906" s="65"/>
      <c r="B906" s="64"/>
      <c r="C906" s="64"/>
      <c r="D906" s="64"/>
      <c r="E906" s="64"/>
      <c r="F906" s="66"/>
      <c r="G906" s="64"/>
      <c r="H906" s="64"/>
      <c r="I906" s="157">
        <f>IF(A906="","",SUMIF($D$3:$D$906,"Inflow",$F$3:$F$906)-SUMIF($D$3:$D$906,"Outflow",$F$3:$F$906)+SUM(Bank_Accounts!$E$3:$E$22))</f>
      </c>
      <c r="J906" s="156"/>
      <c r="K906" s="64"/>
    </row>
    <row r="907" spans="1:11" x14ac:dyDescent="0.25">
      <c r="A907" s="65"/>
      <c r="B907" s="64"/>
      <c r="C907" s="64"/>
      <c r="D907" s="64"/>
      <c r="E907" s="64"/>
      <c r="F907" s="66"/>
      <c r="G907" s="64"/>
      <c r="H907" s="64"/>
      <c r="I907" s="157">
        <f>IF(A907="","",SUMIF($D$3:$D$907,"Inflow",$F$3:$F$907)-SUMIF($D$3:$D$907,"Outflow",$F$3:$F$907)+SUM(Bank_Accounts!$E$3:$E$22))</f>
      </c>
      <c r="J907" s="156"/>
      <c r="K907" s="64"/>
    </row>
    <row r="908" spans="1:11" x14ac:dyDescent="0.25">
      <c r="A908" s="65"/>
      <c r="B908" s="64"/>
      <c r="C908" s="64"/>
      <c r="D908" s="64"/>
      <c r="E908" s="64"/>
      <c r="F908" s="66"/>
      <c r="G908" s="64"/>
      <c r="H908" s="64"/>
      <c r="I908" s="157">
        <f>IF(A908="","",SUMIF($D$3:$D$908,"Inflow",$F$3:$F$908)-SUMIF($D$3:$D$908,"Outflow",$F$3:$F$908)+SUM(Bank_Accounts!$E$3:$E$22))</f>
      </c>
      <c r="J908" s="156"/>
      <c r="K908" s="64"/>
    </row>
    <row r="909" spans="1:11" x14ac:dyDescent="0.25">
      <c r="A909" s="65"/>
      <c r="B909" s="64"/>
      <c r="C909" s="64"/>
      <c r="D909" s="64"/>
      <c r="E909" s="64"/>
      <c r="F909" s="66"/>
      <c r="G909" s="64"/>
      <c r="H909" s="64"/>
      <c r="I909" s="157">
        <f>IF(A909="","",SUMIF($D$3:$D$909,"Inflow",$F$3:$F$909)-SUMIF($D$3:$D$909,"Outflow",$F$3:$F$909)+SUM(Bank_Accounts!$E$3:$E$22))</f>
      </c>
      <c r="J909" s="156"/>
      <c r="K909" s="64"/>
    </row>
    <row r="910" spans="1:11" x14ac:dyDescent="0.25">
      <c r="A910" s="65"/>
      <c r="B910" s="64"/>
      <c r="C910" s="64"/>
      <c r="D910" s="64"/>
      <c r="E910" s="64"/>
      <c r="F910" s="66"/>
      <c r="G910" s="64"/>
      <c r="H910" s="64"/>
      <c r="I910" s="157">
        <f>IF(A910="","",SUMIF($D$3:$D$910,"Inflow",$F$3:$F$910)-SUMIF($D$3:$D$910,"Outflow",$F$3:$F$910)+SUM(Bank_Accounts!$E$3:$E$22))</f>
      </c>
      <c r="J910" s="156"/>
      <c r="K910" s="64"/>
    </row>
    <row r="911" spans="1:11" x14ac:dyDescent="0.25">
      <c r="A911" s="65"/>
      <c r="B911" s="64"/>
      <c r="C911" s="64"/>
      <c r="D911" s="64"/>
      <c r="E911" s="64"/>
      <c r="F911" s="66"/>
      <c r="G911" s="64"/>
      <c r="H911" s="64"/>
      <c r="I911" s="157">
        <f>IF(A911="","",SUMIF($D$3:$D$911,"Inflow",$F$3:$F$911)-SUMIF($D$3:$D$911,"Outflow",$F$3:$F$911)+SUM(Bank_Accounts!$E$3:$E$22))</f>
      </c>
      <c r="J911" s="156"/>
      <c r="K911" s="64"/>
    </row>
    <row r="912" spans="1:11" x14ac:dyDescent="0.25">
      <c r="A912" s="65"/>
      <c r="B912" s="64"/>
      <c r="C912" s="64"/>
      <c r="D912" s="64"/>
      <c r="E912" s="64"/>
      <c r="F912" s="66"/>
      <c r="G912" s="64"/>
      <c r="H912" s="64"/>
      <c r="I912" s="157">
        <f>IF(A912="","",SUMIF($D$3:$D$912,"Inflow",$F$3:$F$912)-SUMIF($D$3:$D$912,"Outflow",$F$3:$F$912)+SUM(Bank_Accounts!$E$3:$E$22))</f>
      </c>
      <c r="J912" s="156"/>
      <c r="K912" s="64"/>
    </row>
    <row r="913" spans="1:11" x14ac:dyDescent="0.25">
      <c r="A913" s="65"/>
      <c r="B913" s="64"/>
      <c r="C913" s="64"/>
      <c r="D913" s="64"/>
      <c r="E913" s="64"/>
      <c r="F913" s="66"/>
      <c r="G913" s="64"/>
      <c r="H913" s="64"/>
      <c r="I913" s="157">
        <f>IF(A913="","",SUMIF($D$3:$D$913,"Inflow",$F$3:$F$913)-SUMIF($D$3:$D$913,"Outflow",$F$3:$F$913)+SUM(Bank_Accounts!$E$3:$E$22))</f>
      </c>
      <c r="J913" s="156"/>
      <c r="K913" s="64"/>
    </row>
    <row r="914" spans="1:11" x14ac:dyDescent="0.25">
      <c r="A914" s="65"/>
      <c r="B914" s="64"/>
      <c r="C914" s="64"/>
      <c r="D914" s="64"/>
      <c r="E914" s="64"/>
      <c r="F914" s="66"/>
      <c r="G914" s="64"/>
      <c r="H914" s="64"/>
      <c r="I914" s="157">
        <f>IF(A914="","",SUMIF($D$3:$D$914,"Inflow",$F$3:$F$914)-SUMIF($D$3:$D$914,"Outflow",$F$3:$F$914)+SUM(Bank_Accounts!$E$3:$E$22))</f>
      </c>
      <c r="J914" s="156"/>
      <c r="K914" s="64"/>
    </row>
    <row r="915" spans="1:11" x14ac:dyDescent="0.25">
      <c r="A915" s="65"/>
      <c r="B915" s="64"/>
      <c r="C915" s="64"/>
      <c r="D915" s="64"/>
      <c r="E915" s="64"/>
      <c r="F915" s="66"/>
      <c r="G915" s="64"/>
      <c r="H915" s="64"/>
      <c r="I915" s="157">
        <f>IF(A915="","",SUMIF($D$3:$D$915,"Inflow",$F$3:$F$915)-SUMIF($D$3:$D$915,"Outflow",$F$3:$F$915)+SUM(Bank_Accounts!$E$3:$E$22))</f>
      </c>
      <c r="J915" s="156"/>
      <c r="K915" s="64"/>
    </row>
    <row r="916" spans="1:11" x14ac:dyDescent="0.25">
      <c r="A916" s="65"/>
      <c r="B916" s="64"/>
      <c r="C916" s="64"/>
      <c r="D916" s="64"/>
      <c r="E916" s="64"/>
      <c r="F916" s="66"/>
      <c r="G916" s="64"/>
      <c r="H916" s="64"/>
      <c r="I916" s="157">
        <f>IF(A916="","",SUMIF($D$3:$D$916,"Inflow",$F$3:$F$916)-SUMIF($D$3:$D$916,"Outflow",$F$3:$F$916)+SUM(Bank_Accounts!$E$3:$E$22))</f>
      </c>
      <c r="J916" s="156"/>
      <c r="K916" s="64"/>
    </row>
    <row r="917" spans="1:11" x14ac:dyDescent="0.25">
      <c r="A917" s="65"/>
      <c r="B917" s="64"/>
      <c r="C917" s="64"/>
      <c r="D917" s="64"/>
      <c r="E917" s="64"/>
      <c r="F917" s="66"/>
      <c r="G917" s="64"/>
      <c r="H917" s="64"/>
      <c r="I917" s="157">
        <f>IF(A917="","",SUMIF($D$3:$D$917,"Inflow",$F$3:$F$917)-SUMIF($D$3:$D$917,"Outflow",$F$3:$F$917)+SUM(Bank_Accounts!$E$3:$E$22))</f>
      </c>
      <c r="J917" s="156"/>
      <c r="K917" s="64"/>
    </row>
    <row r="918" spans="1:11" x14ac:dyDescent="0.25">
      <c r="A918" s="65"/>
      <c r="B918" s="64"/>
      <c r="C918" s="64"/>
      <c r="D918" s="64"/>
      <c r="E918" s="64"/>
      <c r="F918" s="66"/>
      <c r="G918" s="64"/>
      <c r="H918" s="64"/>
      <c r="I918" s="157">
        <f>IF(A918="","",SUMIF($D$3:$D$918,"Inflow",$F$3:$F$918)-SUMIF($D$3:$D$918,"Outflow",$F$3:$F$918)+SUM(Bank_Accounts!$E$3:$E$22))</f>
      </c>
      <c r="J918" s="156"/>
      <c r="K918" s="64"/>
    </row>
    <row r="919" spans="1:11" x14ac:dyDescent="0.25">
      <c r="A919" s="65"/>
      <c r="B919" s="64"/>
      <c r="C919" s="64"/>
      <c r="D919" s="64"/>
      <c r="E919" s="64"/>
      <c r="F919" s="66"/>
      <c r="G919" s="64"/>
      <c r="H919" s="64"/>
      <c r="I919" s="157">
        <f>IF(A919="","",SUMIF($D$3:$D$919,"Inflow",$F$3:$F$919)-SUMIF($D$3:$D$919,"Outflow",$F$3:$F$919)+SUM(Bank_Accounts!$E$3:$E$22))</f>
      </c>
      <c r="J919" s="156"/>
      <c r="K919" s="64"/>
    </row>
    <row r="920" spans="1:11" x14ac:dyDescent="0.25">
      <c r="A920" s="65"/>
      <c r="B920" s="64"/>
      <c r="C920" s="64"/>
      <c r="D920" s="64"/>
      <c r="E920" s="64"/>
      <c r="F920" s="66"/>
      <c r="G920" s="64"/>
      <c r="H920" s="64"/>
      <c r="I920" s="157">
        <f>IF(A920="","",SUMIF($D$3:$D$920,"Inflow",$F$3:$F$920)-SUMIF($D$3:$D$920,"Outflow",$F$3:$F$920)+SUM(Bank_Accounts!$E$3:$E$22))</f>
      </c>
      <c r="J920" s="156"/>
      <c r="K920" s="64"/>
    </row>
    <row r="921" spans="1:11" x14ac:dyDescent="0.25">
      <c r="A921" s="65"/>
      <c r="B921" s="64"/>
      <c r="C921" s="64"/>
      <c r="D921" s="64"/>
      <c r="E921" s="64"/>
      <c r="F921" s="66"/>
      <c r="G921" s="64"/>
      <c r="H921" s="64"/>
      <c r="I921" s="157">
        <f>IF(A921="","",SUMIF($D$3:$D$921,"Inflow",$F$3:$F$921)-SUMIF($D$3:$D$921,"Outflow",$F$3:$F$921)+SUM(Bank_Accounts!$E$3:$E$22))</f>
      </c>
      <c r="J921" s="156"/>
      <c r="K921" s="64"/>
    </row>
    <row r="922" spans="1:11" x14ac:dyDescent="0.25">
      <c r="A922" s="65"/>
      <c r="B922" s="64"/>
      <c r="C922" s="64"/>
      <c r="D922" s="64"/>
      <c r="E922" s="64"/>
      <c r="F922" s="66"/>
      <c r="G922" s="64"/>
      <c r="H922" s="64"/>
      <c r="I922" s="157">
        <f>IF(A922="","",SUMIF($D$3:$D$922,"Inflow",$F$3:$F$922)-SUMIF($D$3:$D$922,"Outflow",$F$3:$F$922)+SUM(Bank_Accounts!$E$3:$E$22))</f>
      </c>
      <c r="J922" s="156"/>
      <c r="K922" s="64"/>
    </row>
    <row r="923" spans="1:11" x14ac:dyDescent="0.25">
      <c r="A923" s="65"/>
      <c r="B923" s="64"/>
      <c r="C923" s="64"/>
      <c r="D923" s="64"/>
      <c r="E923" s="64"/>
      <c r="F923" s="66"/>
      <c r="G923" s="64"/>
      <c r="H923" s="64"/>
      <c r="I923" s="157">
        <f>IF(A923="","",SUMIF($D$3:$D$923,"Inflow",$F$3:$F$923)-SUMIF($D$3:$D$923,"Outflow",$F$3:$F$923)+SUM(Bank_Accounts!$E$3:$E$22))</f>
      </c>
      <c r="J923" s="156"/>
      <c r="K923" s="64"/>
    </row>
    <row r="924" spans="1:11" x14ac:dyDescent="0.25">
      <c r="A924" s="65"/>
      <c r="B924" s="64"/>
      <c r="C924" s="64"/>
      <c r="D924" s="64"/>
      <c r="E924" s="64"/>
      <c r="F924" s="66"/>
      <c r="G924" s="64"/>
      <c r="H924" s="64"/>
      <c r="I924" s="157">
        <f>IF(A924="","",SUMIF($D$3:$D$924,"Inflow",$F$3:$F$924)-SUMIF($D$3:$D$924,"Outflow",$F$3:$F$924)+SUM(Bank_Accounts!$E$3:$E$22))</f>
      </c>
      <c r="J924" s="156"/>
      <c r="K924" s="64"/>
    </row>
    <row r="925" spans="1:11" x14ac:dyDescent="0.25">
      <c r="A925" s="65"/>
      <c r="B925" s="64"/>
      <c r="C925" s="64"/>
      <c r="D925" s="64"/>
      <c r="E925" s="64"/>
      <c r="F925" s="66"/>
      <c r="G925" s="64"/>
      <c r="H925" s="64"/>
      <c r="I925" s="157">
        <f>IF(A925="","",SUMIF($D$3:$D$925,"Inflow",$F$3:$F$925)-SUMIF($D$3:$D$925,"Outflow",$F$3:$F$925)+SUM(Bank_Accounts!$E$3:$E$22))</f>
      </c>
      <c r="J925" s="156"/>
      <c r="K925" s="64"/>
    </row>
    <row r="926" spans="1:11" x14ac:dyDescent="0.25">
      <c r="A926" s="65"/>
      <c r="B926" s="64"/>
      <c r="C926" s="64"/>
      <c r="D926" s="64"/>
      <c r="E926" s="64"/>
      <c r="F926" s="66"/>
      <c r="G926" s="64"/>
      <c r="H926" s="64"/>
      <c r="I926" s="157">
        <f>IF(A926="","",SUMIF($D$3:$D$926,"Inflow",$F$3:$F$926)-SUMIF($D$3:$D$926,"Outflow",$F$3:$F$926)+SUM(Bank_Accounts!$E$3:$E$22))</f>
      </c>
      <c r="J926" s="156"/>
      <c r="K926" s="64"/>
    </row>
    <row r="927" spans="1:11" x14ac:dyDescent="0.25">
      <c r="A927" s="65"/>
      <c r="B927" s="64"/>
      <c r="C927" s="64"/>
      <c r="D927" s="64"/>
      <c r="E927" s="64"/>
      <c r="F927" s="66"/>
      <c r="G927" s="64"/>
      <c r="H927" s="64"/>
      <c r="I927" s="157">
        <f>IF(A927="","",SUMIF($D$3:$D$927,"Inflow",$F$3:$F$927)-SUMIF($D$3:$D$927,"Outflow",$F$3:$F$927)+SUM(Bank_Accounts!$E$3:$E$22))</f>
      </c>
      <c r="J927" s="156"/>
      <c r="K927" s="64"/>
    </row>
    <row r="928" spans="1:11" x14ac:dyDescent="0.25">
      <c r="A928" s="65"/>
      <c r="B928" s="64"/>
      <c r="C928" s="64"/>
      <c r="D928" s="64"/>
      <c r="E928" s="64"/>
      <c r="F928" s="66"/>
      <c r="G928" s="64"/>
      <c r="H928" s="64"/>
      <c r="I928" s="157">
        <f>IF(A928="","",SUMIF($D$3:$D$928,"Inflow",$F$3:$F$928)-SUMIF($D$3:$D$928,"Outflow",$F$3:$F$928)+SUM(Bank_Accounts!$E$3:$E$22))</f>
      </c>
      <c r="J928" s="156"/>
      <c r="K928" s="64"/>
    </row>
    <row r="929" spans="1:11" x14ac:dyDescent="0.25">
      <c r="A929" s="65"/>
      <c r="B929" s="64"/>
      <c r="C929" s="64"/>
      <c r="D929" s="64"/>
      <c r="E929" s="64"/>
      <c r="F929" s="66"/>
      <c r="G929" s="64"/>
      <c r="H929" s="64"/>
      <c r="I929" s="157">
        <f>IF(A929="","",SUMIF($D$3:$D$929,"Inflow",$F$3:$F$929)-SUMIF($D$3:$D$929,"Outflow",$F$3:$F$929)+SUM(Bank_Accounts!$E$3:$E$22))</f>
      </c>
      <c r="J929" s="156"/>
      <c r="K929" s="64"/>
    </row>
    <row r="930" spans="1:11" x14ac:dyDescent="0.25">
      <c r="A930" s="65"/>
      <c r="B930" s="64"/>
      <c r="C930" s="64"/>
      <c r="D930" s="64"/>
      <c r="E930" s="64"/>
      <c r="F930" s="66"/>
      <c r="G930" s="64"/>
      <c r="H930" s="64"/>
      <c r="I930" s="157">
        <f>IF(A930="","",SUMIF($D$3:$D$930,"Inflow",$F$3:$F$930)-SUMIF($D$3:$D$930,"Outflow",$F$3:$F$930)+SUM(Bank_Accounts!$E$3:$E$22))</f>
      </c>
      <c r="J930" s="156"/>
      <c r="K930" s="64"/>
    </row>
    <row r="931" spans="1:11" x14ac:dyDescent="0.25">
      <c r="A931" s="65"/>
      <c r="B931" s="64"/>
      <c r="C931" s="64"/>
      <c r="D931" s="64"/>
      <c r="E931" s="64"/>
      <c r="F931" s="66"/>
      <c r="G931" s="64"/>
      <c r="H931" s="64"/>
      <c r="I931" s="157">
        <f>IF(A931="","",SUMIF($D$3:$D$931,"Inflow",$F$3:$F$931)-SUMIF($D$3:$D$931,"Outflow",$F$3:$F$931)+SUM(Bank_Accounts!$E$3:$E$22))</f>
      </c>
      <c r="J931" s="156"/>
      <c r="K931" s="64"/>
    </row>
    <row r="932" spans="1:11" x14ac:dyDescent="0.25">
      <c r="A932" s="65"/>
      <c r="B932" s="64"/>
      <c r="C932" s="64"/>
      <c r="D932" s="64"/>
      <c r="E932" s="64"/>
      <c r="F932" s="66"/>
      <c r="G932" s="64"/>
      <c r="H932" s="64"/>
      <c r="I932" s="157">
        <f>IF(A932="","",SUMIF($D$3:$D$932,"Inflow",$F$3:$F$932)-SUMIF($D$3:$D$932,"Outflow",$F$3:$F$932)+SUM(Bank_Accounts!$E$3:$E$22))</f>
      </c>
      <c r="J932" s="156"/>
      <c r="K932" s="64"/>
    </row>
    <row r="933" spans="1:11" x14ac:dyDescent="0.25">
      <c r="A933" s="65"/>
      <c r="B933" s="64"/>
      <c r="C933" s="64"/>
      <c r="D933" s="64"/>
      <c r="E933" s="64"/>
      <c r="F933" s="66"/>
      <c r="G933" s="64"/>
      <c r="H933" s="64"/>
      <c r="I933" s="157">
        <f>IF(A933="","",SUMIF($D$3:$D$933,"Inflow",$F$3:$F$933)-SUMIF($D$3:$D$933,"Outflow",$F$3:$F$933)+SUM(Bank_Accounts!$E$3:$E$22))</f>
      </c>
      <c r="J933" s="156"/>
      <c r="K933" s="64"/>
    </row>
    <row r="934" spans="1:11" x14ac:dyDescent="0.25">
      <c r="A934" s="65"/>
      <c r="B934" s="64"/>
      <c r="C934" s="64"/>
      <c r="D934" s="64"/>
      <c r="E934" s="64"/>
      <c r="F934" s="66"/>
      <c r="G934" s="64"/>
      <c r="H934" s="64"/>
      <c r="I934" s="157">
        <f>IF(A934="","",SUMIF($D$3:$D$934,"Inflow",$F$3:$F$934)-SUMIF($D$3:$D$934,"Outflow",$F$3:$F$934)+SUM(Bank_Accounts!$E$3:$E$22))</f>
      </c>
      <c r="J934" s="156"/>
      <c r="K934" s="64"/>
    </row>
    <row r="935" spans="1:11" x14ac:dyDescent="0.25">
      <c r="A935" s="65"/>
      <c r="B935" s="64"/>
      <c r="C935" s="64"/>
      <c r="D935" s="64"/>
      <c r="E935" s="64"/>
      <c r="F935" s="66"/>
      <c r="G935" s="64"/>
      <c r="H935" s="64"/>
      <c r="I935" s="157">
        <f>IF(A935="","",SUMIF($D$3:$D$935,"Inflow",$F$3:$F$935)-SUMIF($D$3:$D$935,"Outflow",$F$3:$F$935)+SUM(Bank_Accounts!$E$3:$E$22))</f>
      </c>
      <c r="J935" s="156"/>
      <c r="K935" s="64"/>
    </row>
    <row r="936" spans="1:11" x14ac:dyDescent="0.25">
      <c r="A936" s="65"/>
      <c r="B936" s="64"/>
      <c r="C936" s="64"/>
      <c r="D936" s="64"/>
      <c r="E936" s="64"/>
      <c r="F936" s="66"/>
      <c r="G936" s="64"/>
      <c r="H936" s="64"/>
      <c r="I936" s="157">
        <f>IF(A936="","",SUMIF($D$3:$D$936,"Inflow",$F$3:$F$936)-SUMIF($D$3:$D$936,"Outflow",$F$3:$F$936)+SUM(Bank_Accounts!$E$3:$E$22))</f>
      </c>
      <c r="J936" s="156"/>
      <c r="K936" s="64"/>
    </row>
    <row r="937" spans="1:11" x14ac:dyDescent="0.25">
      <c r="A937" s="65"/>
      <c r="B937" s="64"/>
      <c r="C937" s="64"/>
      <c r="D937" s="64"/>
      <c r="E937" s="64"/>
      <c r="F937" s="66"/>
      <c r="G937" s="64"/>
      <c r="H937" s="64"/>
      <c r="I937" s="157">
        <f>IF(A937="","",SUMIF($D$3:$D$937,"Inflow",$F$3:$F$937)-SUMIF($D$3:$D$937,"Outflow",$F$3:$F$937)+SUM(Bank_Accounts!$E$3:$E$22))</f>
      </c>
      <c r="J937" s="156"/>
      <c r="K937" s="64"/>
    </row>
    <row r="938" spans="1:11" x14ac:dyDescent="0.25">
      <c r="A938" s="65"/>
      <c r="B938" s="64"/>
      <c r="C938" s="64"/>
      <c r="D938" s="64"/>
      <c r="E938" s="64"/>
      <c r="F938" s="66"/>
      <c r="G938" s="64"/>
      <c r="H938" s="64"/>
      <c r="I938" s="157">
        <f>IF(A938="","",SUMIF($D$3:$D$938,"Inflow",$F$3:$F$938)-SUMIF($D$3:$D$938,"Outflow",$F$3:$F$938)+SUM(Bank_Accounts!$E$3:$E$22))</f>
      </c>
      <c r="J938" s="156"/>
      <c r="K938" s="64"/>
    </row>
    <row r="939" spans="1:11" x14ac:dyDescent="0.25">
      <c r="A939" s="65"/>
      <c r="B939" s="64"/>
      <c r="C939" s="64"/>
      <c r="D939" s="64"/>
      <c r="E939" s="64"/>
      <c r="F939" s="66"/>
      <c r="G939" s="64"/>
      <c r="H939" s="64"/>
      <c r="I939" s="157">
        <f>IF(A939="","",SUMIF($D$3:$D$939,"Inflow",$F$3:$F$939)-SUMIF($D$3:$D$939,"Outflow",$F$3:$F$939)+SUM(Bank_Accounts!$E$3:$E$22))</f>
      </c>
      <c r="J939" s="156"/>
      <c r="K939" s="64"/>
    </row>
    <row r="940" spans="1:11" x14ac:dyDescent="0.25">
      <c r="A940" s="65"/>
      <c r="B940" s="64"/>
      <c r="C940" s="64"/>
      <c r="D940" s="64"/>
      <c r="E940" s="64"/>
      <c r="F940" s="66"/>
      <c r="G940" s="64"/>
      <c r="H940" s="64"/>
      <c r="I940" s="157">
        <f>IF(A940="","",SUMIF($D$3:$D$940,"Inflow",$F$3:$F$940)-SUMIF($D$3:$D$940,"Outflow",$F$3:$F$940)+SUM(Bank_Accounts!$E$3:$E$22))</f>
      </c>
      <c r="J940" s="156"/>
      <c r="K940" s="64"/>
    </row>
    <row r="941" spans="1:11" x14ac:dyDescent="0.25">
      <c r="A941" s="65"/>
      <c r="B941" s="64"/>
      <c r="C941" s="64"/>
      <c r="D941" s="64"/>
      <c r="E941" s="64"/>
      <c r="F941" s="66"/>
      <c r="G941" s="64"/>
      <c r="H941" s="64"/>
      <c r="I941" s="157">
        <f>IF(A941="","",SUMIF($D$3:$D$941,"Inflow",$F$3:$F$941)-SUMIF($D$3:$D$941,"Outflow",$F$3:$F$941)+SUM(Bank_Accounts!$E$3:$E$22))</f>
      </c>
      <c r="J941" s="156"/>
      <c r="K941" s="64"/>
    </row>
    <row r="942" spans="1:11" x14ac:dyDescent="0.25">
      <c r="A942" s="65"/>
      <c r="B942" s="64"/>
      <c r="C942" s="64"/>
      <c r="D942" s="64"/>
      <c r="E942" s="64"/>
      <c r="F942" s="66"/>
      <c r="G942" s="64"/>
      <c r="H942" s="64"/>
      <c r="I942" s="157">
        <f>IF(A942="","",SUMIF($D$3:$D$942,"Inflow",$F$3:$F$942)-SUMIF($D$3:$D$942,"Outflow",$F$3:$F$942)+SUM(Bank_Accounts!$E$3:$E$22))</f>
      </c>
      <c r="J942" s="156"/>
      <c r="K942" s="64"/>
    </row>
    <row r="943" spans="1:11" x14ac:dyDescent="0.25">
      <c r="A943" s="65"/>
      <c r="B943" s="64"/>
      <c r="C943" s="64"/>
      <c r="D943" s="64"/>
      <c r="E943" s="64"/>
      <c r="F943" s="66"/>
      <c r="G943" s="64"/>
      <c r="H943" s="64"/>
      <c r="I943" s="157">
        <f>IF(A943="","",SUMIF($D$3:$D$943,"Inflow",$F$3:$F$943)-SUMIF($D$3:$D$943,"Outflow",$F$3:$F$943)+SUM(Bank_Accounts!$E$3:$E$22))</f>
      </c>
      <c r="J943" s="156"/>
      <c r="K943" s="64"/>
    </row>
    <row r="944" spans="1:11" x14ac:dyDescent="0.25">
      <c r="A944" s="65"/>
      <c r="B944" s="64"/>
      <c r="C944" s="64"/>
      <c r="D944" s="64"/>
      <c r="E944" s="64"/>
      <c r="F944" s="66"/>
      <c r="G944" s="64"/>
      <c r="H944" s="64"/>
      <c r="I944" s="157">
        <f>IF(A944="","",SUMIF($D$3:$D$944,"Inflow",$F$3:$F$944)-SUMIF($D$3:$D$944,"Outflow",$F$3:$F$944)+SUM(Bank_Accounts!$E$3:$E$22))</f>
      </c>
      <c r="J944" s="156"/>
      <c r="K944" s="64"/>
    </row>
    <row r="945" spans="1:11" x14ac:dyDescent="0.25">
      <c r="A945" s="65"/>
      <c r="B945" s="64"/>
      <c r="C945" s="64"/>
      <c r="D945" s="64"/>
      <c r="E945" s="64"/>
      <c r="F945" s="66"/>
      <c r="G945" s="64"/>
      <c r="H945" s="64"/>
      <c r="I945" s="157">
        <f>IF(A945="","",SUMIF($D$3:$D$945,"Inflow",$F$3:$F$945)-SUMIF($D$3:$D$945,"Outflow",$F$3:$F$945)+SUM(Bank_Accounts!$E$3:$E$22))</f>
      </c>
      <c r="J945" s="156"/>
      <c r="K945" s="64"/>
    </row>
    <row r="946" spans="1:11" x14ac:dyDescent="0.25">
      <c r="A946" s="65"/>
      <c r="B946" s="64"/>
      <c r="C946" s="64"/>
      <c r="D946" s="64"/>
      <c r="E946" s="64"/>
      <c r="F946" s="66"/>
      <c r="G946" s="64"/>
      <c r="H946" s="64"/>
      <c r="I946" s="157">
        <f>IF(A946="","",SUMIF($D$3:$D$946,"Inflow",$F$3:$F$946)-SUMIF($D$3:$D$946,"Outflow",$F$3:$F$946)+SUM(Bank_Accounts!$E$3:$E$22))</f>
      </c>
      <c r="J946" s="156"/>
      <c r="K946" s="64"/>
    </row>
    <row r="947" spans="1:11" x14ac:dyDescent="0.25">
      <c r="A947" s="65"/>
      <c r="B947" s="64"/>
      <c r="C947" s="64"/>
      <c r="D947" s="64"/>
      <c r="E947" s="64"/>
      <c r="F947" s="66"/>
      <c r="G947" s="64"/>
      <c r="H947" s="64"/>
      <c r="I947" s="157">
        <f>IF(A947="","",SUMIF($D$3:$D$947,"Inflow",$F$3:$F$947)-SUMIF($D$3:$D$947,"Outflow",$F$3:$F$947)+SUM(Bank_Accounts!$E$3:$E$22))</f>
      </c>
      <c r="J947" s="156"/>
      <c r="K947" s="64"/>
    </row>
    <row r="948" spans="1:11" x14ac:dyDescent="0.25">
      <c r="A948" s="65"/>
      <c r="B948" s="64"/>
      <c r="C948" s="64"/>
      <c r="D948" s="64"/>
      <c r="E948" s="64"/>
      <c r="F948" s="66"/>
      <c r="G948" s="64"/>
      <c r="H948" s="64"/>
      <c r="I948" s="157">
        <f>IF(A948="","",SUMIF($D$3:$D$948,"Inflow",$F$3:$F$948)-SUMIF($D$3:$D$948,"Outflow",$F$3:$F$948)+SUM(Bank_Accounts!$E$3:$E$22))</f>
      </c>
      <c r="J948" s="156"/>
      <c r="K948" s="64"/>
    </row>
    <row r="949" spans="1:11" x14ac:dyDescent="0.25">
      <c r="A949" s="65"/>
      <c r="B949" s="64"/>
      <c r="C949" s="64"/>
      <c r="D949" s="64"/>
      <c r="E949" s="64"/>
      <c r="F949" s="66"/>
      <c r="G949" s="64"/>
      <c r="H949" s="64"/>
      <c r="I949" s="157">
        <f>IF(A949="","",SUMIF($D$3:$D$949,"Inflow",$F$3:$F$949)-SUMIF($D$3:$D$949,"Outflow",$F$3:$F$949)+SUM(Bank_Accounts!$E$3:$E$22))</f>
      </c>
      <c r="J949" s="156"/>
      <c r="K949" s="64"/>
    </row>
    <row r="950" spans="1:11" x14ac:dyDescent="0.25">
      <c r="A950" s="65"/>
      <c r="B950" s="64"/>
      <c r="C950" s="64"/>
      <c r="D950" s="64"/>
      <c r="E950" s="64"/>
      <c r="F950" s="66"/>
      <c r="G950" s="64"/>
      <c r="H950" s="64"/>
      <c r="I950" s="157">
        <f>IF(A950="","",SUMIF($D$3:$D$950,"Inflow",$F$3:$F$950)-SUMIF($D$3:$D$950,"Outflow",$F$3:$F$950)+SUM(Bank_Accounts!$E$3:$E$22))</f>
      </c>
      <c r="J950" s="156"/>
      <c r="K950" s="64"/>
    </row>
    <row r="951" spans="1:11" x14ac:dyDescent="0.25">
      <c r="A951" s="65"/>
      <c r="B951" s="64"/>
      <c r="C951" s="64"/>
      <c r="D951" s="64"/>
      <c r="E951" s="64"/>
      <c r="F951" s="66"/>
      <c r="G951" s="64"/>
      <c r="H951" s="64"/>
      <c r="I951" s="157">
        <f>IF(A951="","",SUMIF($D$3:$D$951,"Inflow",$F$3:$F$951)-SUMIF($D$3:$D$951,"Outflow",$F$3:$F$951)+SUM(Bank_Accounts!$E$3:$E$22))</f>
      </c>
      <c r="J951" s="156"/>
      <c r="K951" s="64"/>
    </row>
    <row r="952" spans="1:11" x14ac:dyDescent="0.25">
      <c r="A952" s="65"/>
      <c r="B952" s="64"/>
      <c r="C952" s="64"/>
      <c r="D952" s="64"/>
      <c r="E952" s="64"/>
      <c r="F952" s="66"/>
      <c r="G952" s="64"/>
      <c r="H952" s="64"/>
      <c r="I952" s="157">
        <f>IF(A952="","",SUMIF($D$3:$D$952,"Inflow",$F$3:$F$952)-SUMIF($D$3:$D$952,"Outflow",$F$3:$F$952)+SUM(Bank_Accounts!$E$3:$E$22))</f>
      </c>
      <c r="J952" s="156"/>
      <c r="K952" s="64"/>
    </row>
    <row r="953" spans="1:11" x14ac:dyDescent="0.25">
      <c r="A953" s="65"/>
      <c r="B953" s="64"/>
      <c r="C953" s="64"/>
      <c r="D953" s="64"/>
      <c r="E953" s="64"/>
      <c r="F953" s="66"/>
      <c r="G953" s="64"/>
      <c r="H953" s="64"/>
      <c r="I953" s="157">
        <f>IF(A953="","",SUMIF($D$3:$D$953,"Inflow",$F$3:$F$953)-SUMIF($D$3:$D$953,"Outflow",$F$3:$F$953)+SUM(Bank_Accounts!$E$3:$E$22))</f>
      </c>
      <c r="J953" s="156"/>
      <c r="K953" s="64"/>
    </row>
    <row r="954" spans="1:11" x14ac:dyDescent="0.25">
      <c r="A954" s="65"/>
      <c r="B954" s="64"/>
      <c r="C954" s="64"/>
      <c r="D954" s="64"/>
      <c r="E954" s="64"/>
      <c r="F954" s="66"/>
      <c r="G954" s="64"/>
      <c r="H954" s="64"/>
      <c r="I954" s="157">
        <f>IF(A954="","",SUMIF($D$3:$D$954,"Inflow",$F$3:$F$954)-SUMIF($D$3:$D$954,"Outflow",$F$3:$F$954)+SUM(Bank_Accounts!$E$3:$E$22))</f>
      </c>
      <c r="J954" s="156"/>
      <c r="K954" s="64"/>
    </row>
    <row r="955" spans="1:11" x14ac:dyDescent="0.25">
      <c r="A955" s="65"/>
      <c r="B955" s="64"/>
      <c r="C955" s="64"/>
      <c r="D955" s="64"/>
      <c r="E955" s="64"/>
      <c r="F955" s="66"/>
      <c r="G955" s="64"/>
      <c r="H955" s="64"/>
      <c r="I955" s="157">
        <f>IF(A955="","",SUMIF($D$3:$D$955,"Inflow",$F$3:$F$955)-SUMIF($D$3:$D$955,"Outflow",$F$3:$F$955)+SUM(Bank_Accounts!$E$3:$E$22))</f>
      </c>
      <c r="J955" s="156"/>
      <c r="K955" s="64"/>
    </row>
    <row r="956" spans="1:11" x14ac:dyDescent="0.25">
      <c r="A956" s="65"/>
      <c r="B956" s="64"/>
      <c r="C956" s="64"/>
      <c r="D956" s="64"/>
      <c r="E956" s="64"/>
      <c r="F956" s="66"/>
      <c r="G956" s="64"/>
      <c r="H956" s="64"/>
      <c r="I956" s="157">
        <f>IF(A956="","",SUMIF($D$3:$D$956,"Inflow",$F$3:$F$956)-SUMIF($D$3:$D$956,"Outflow",$F$3:$F$956)+SUM(Bank_Accounts!$E$3:$E$22))</f>
      </c>
      <c r="J956" s="156"/>
      <c r="K956" s="64"/>
    </row>
    <row r="957" spans="1:11" x14ac:dyDescent="0.25">
      <c r="A957" s="65"/>
      <c r="B957" s="64"/>
      <c r="C957" s="64"/>
      <c r="D957" s="64"/>
      <c r="E957" s="64"/>
      <c r="F957" s="66"/>
      <c r="G957" s="64"/>
      <c r="H957" s="64"/>
      <c r="I957" s="157">
        <f>IF(A957="","",SUMIF($D$3:$D$957,"Inflow",$F$3:$F$957)-SUMIF($D$3:$D$957,"Outflow",$F$3:$F$957)+SUM(Bank_Accounts!$E$3:$E$22))</f>
      </c>
      <c r="J957" s="156"/>
      <c r="K957" s="64"/>
    </row>
    <row r="958" spans="1:11" x14ac:dyDescent="0.25">
      <c r="A958" s="65"/>
      <c r="B958" s="64"/>
      <c r="C958" s="64"/>
      <c r="D958" s="64"/>
      <c r="E958" s="64"/>
      <c r="F958" s="66"/>
      <c r="G958" s="64"/>
      <c r="H958" s="64"/>
      <c r="I958" s="157">
        <f>IF(A958="","",SUMIF($D$3:$D$958,"Inflow",$F$3:$F$958)-SUMIF($D$3:$D$958,"Outflow",$F$3:$F$958)+SUM(Bank_Accounts!$E$3:$E$22))</f>
      </c>
      <c r="J958" s="156"/>
      <c r="K958" s="64"/>
    </row>
    <row r="959" spans="1:11" x14ac:dyDescent="0.25">
      <c r="A959" s="65"/>
      <c r="B959" s="64"/>
      <c r="C959" s="64"/>
      <c r="D959" s="64"/>
      <c r="E959" s="64"/>
      <c r="F959" s="66"/>
      <c r="G959" s="64"/>
      <c r="H959" s="64"/>
      <c r="I959" s="157">
        <f>IF(A959="","",SUMIF($D$3:$D$959,"Inflow",$F$3:$F$959)-SUMIF($D$3:$D$959,"Outflow",$F$3:$F$959)+SUM(Bank_Accounts!$E$3:$E$22))</f>
      </c>
      <c r="J959" s="156"/>
      <c r="K959" s="64"/>
    </row>
    <row r="960" spans="1:11" x14ac:dyDescent="0.25">
      <c r="A960" s="65"/>
      <c r="B960" s="64"/>
      <c r="C960" s="64"/>
      <c r="D960" s="64"/>
      <c r="E960" s="64"/>
      <c r="F960" s="66"/>
      <c r="G960" s="64"/>
      <c r="H960" s="64"/>
      <c r="I960" s="157">
        <f>IF(A960="","",SUMIF($D$3:$D$960,"Inflow",$F$3:$F$960)-SUMIF($D$3:$D$960,"Outflow",$F$3:$F$960)+SUM(Bank_Accounts!$E$3:$E$22))</f>
      </c>
      <c r="J960" s="156"/>
      <c r="K960" s="64"/>
    </row>
    <row r="961" spans="1:11" x14ac:dyDescent="0.25">
      <c r="A961" s="65"/>
      <c r="B961" s="64"/>
      <c r="C961" s="64"/>
      <c r="D961" s="64"/>
      <c r="E961" s="64"/>
      <c r="F961" s="66"/>
      <c r="G961" s="64"/>
      <c r="H961" s="64"/>
      <c r="I961" s="157">
        <f>IF(A961="","",SUMIF($D$3:$D$961,"Inflow",$F$3:$F$961)-SUMIF($D$3:$D$961,"Outflow",$F$3:$F$961)+SUM(Bank_Accounts!$E$3:$E$22))</f>
      </c>
      <c r="J961" s="156"/>
      <c r="K961" s="64"/>
    </row>
    <row r="962" spans="1:11" x14ac:dyDescent="0.25">
      <c r="A962" s="65"/>
      <c r="B962" s="64"/>
      <c r="C962" s="64"/>
      <c r="D962" s="64"/>
      <c r="E962" s="64"/>
      <c r="F962" s="66"/>
      <c r="G962" s="64"/>
      <c r="H962" s="64"/>
      <c r="I962" s="157">
        <f>IF(A962="","",SUMIF($D$3:$D$962,"Inflow",$F$3:$F$962)-SUMIF($D$3:$D$962,"Outflow",$F$3:$F$962)+SUM(Bank_Accounts!$E$3:$E$22))</f>
      </c>
      <c r="J962" s="156"/>
      <c r="K962" s="64"/>
    </row>
    <row r="963" spans="1:11" x14ac:dyDescent="0.25">
      <c r="A963" s="65"/>
      <c r="B963" s="64"/>
      <c r="C963" s="64"/>
      <c r="D963" s="64"/>
      <c r="E963" s="64"/>
      <c r="F963" s="66"/>
      <c r="G963" s="64"/>
      <c r="H963" s="64"/>
      <c r="I963" s="157">
        <f>IF(A963="","",SUMIF($D$3:$D$963,"Inflow",$F$3:$F$963)-SUMIF($D$3:$D$963,"Outflow",$F$3:$F$963)+SUM(Bank_Accounts!$E$3:$E$22))</f>
      </c>
      <c r="J963" s="156"/>
      <c r="K963" s="64"/>
    </row>
    <row r="964" spans="1:11" x14ac:dyDescent="0.25">
      <c r="A964" s="65"/>
      <c r="B964" s="64"/>
      <c r="C964" s="64"/>
      <c r="D964" s="64"/>
      <c r="E964" s="64"/>
      <c r="F964" s="66"/>
      <c r="G964" s="64"/>
      <c r="H964" s="64"/>
      <c r="I964" s="157">
        <f>IF(A964="","",SUMIF($D$3:$D$964,"Inflow",$F$3:$F$964)-SUMIF($D$3:$D$964,"Outflow",$F$3:$F$964)+SUM(Bank_Accounts!$E$3:$E$22))</f>
      </c>
      <c r="J964" s="156"/>
      <c r="K964" s="64"/>
    </row>
    <row r="965" spans="1:11" x14ac:dyDescent="0.25">
      <c r="A965" s="65"/>
      <c r="B965" s="64"/>
      <c r="C965" s="64"/>
      <c r="D965" s="64"/>
      <c r="E965" s="64"/>
      <c r="F965" s="66"/>
      <c r="G965" s="64"/>
      <c r="H965" s="64"/>
      <c r="I965" s="157">
        <f>IF(A965="","",SUMIF($D$3:$D$965,"Inflow",$F$3:$F$965)-SUMIF($D$3:$D$965,"Outflow",$F$3:$F$965)+SUM(Bank_Accounts!$E$3:$E$22))</f>
      </c>
      <c r="J965" s="156"/>
      <c r="K965" s="64"/>
    </row>
    <row r="966" spans="1:11" x14ac:dyDescent="0.25">
      <c r="A966" s="65"/>
      <c r="B966" s="64"/>
      <c r="C966" s="64"/>
      <c r="D966" s="64"/>
      <c r="E966" s="64"/>
      <c r="F966" s="66"/>
      <c r="G966" s="64"/>
      <c r="H966" s="64"/>
      <c r="I966" s="157">
        <f>IF(A966="","",SUMIF($D$3:$D$966,"Inflow",$F$3:$F$966)-SUMIF($D$3:$D$966,"Outflow",$F$3:$F$966)+SUM(Bank_Accounts!$E$3:$E$22))</f>
      </c>
      <c r="J966" s="156"/>
      <c r="K966" s="64"/>
    </row>
    <row r="967" spans="1:11" x14ac:dyDescent="0.25">
      <c r="A967" s="65"/>
      <c r="B967" s="64"/>
      <c r="C967" s="64"/>
      <c r="D967" s="64"/>
      <c r="E967" s="64"/>
      <c r="F967" s="66"/>
      <c r="G967" s="64"/>
      <c r="H967" s="64"/>
      <c r="I967" s="157">
        <f>IF(A967="","",SUMIF($D$3:$D$967,"Inflow",$F$3:$F$967)-SUMIF($D$3:$D$967,"Outflow",$F$3:$F$967)+SUM(Bank_Accounts!$E$3:$E$22))</f>
      </c>
      <c r="J967" s="156"/>
      <c r="K967" s="64"/>
    </row>
    <row r="968" spans="1:11" x14ac:dyDescent="0.25">
      <c r="A968" s="65"/>
      <c r="B968" s="64"/>
      <c r="C968" s="64"/>
      <c r="D968" s="64"/>
      <c r="E968" s="64"/>
      <c r="F968" s="66"/>
      <c r="G968" s="64"/>
      <c r="H968" s="64"/>
      <c r="I968" s="157">
        <f>IF(A968="","",SUMIF($D$3:$D$968,"Inflow",$F$3:$F$968)-SUMIF($D$3:$D$968,"Outflow",$F$3:$F$968)+SUM(Bank_Accounts!$E$3:$E$22))</f>
      </c>
      <c r="J968" s="156"/>
      <c r="K968" s="64"/>
    </row>
    <row r="969" spans="1:11" x14ac:dyDescent="0.25">
      <c r="A969" s="65"/>
      <c r="B969" s="64"/>
      <c r="C969" s="64"/>
      <c r="D969" s="64"/>
      <c r="E969" s="64"/>
      <c r="F969" s="66"/>
      <c r="G969" s="64"/>
      <c r="H969" s="64"/>
      <c r="I969" s="157">
        <f>IF(A969="","",SUMIF($D$3:$D$969,"Inflow",$F$3:$F$969)-SUMIF($D$3:$D$969,"Outflow",$F$3:$F$969)+SUM(Bank_Accounts!$E$3:$E$22))</f>
      </c>
      <c r="J969" s="156"/>
      <c r="K969" s="64"/>
    </row>
    <row r="970" spans="1:11" x14ac:dyDescent="0.25">
      <c r="A970" s="65"/>
      <c r="B970" s="64"/>
      <c r="C970" s="64"/>
      <c r="D970" s="64"/>
      <c r="E970" s="64"/>
      <c r="F970" s="66"/>
      <c r="G970" s="64"/>
      <c r="H970" s="64"/>
      <c r="I970" s="157">
        <f>IF(A970="","",SUMIF($D$3:$D$970,"Inflow",$F$3:$F$970)-SUMIF($D$3:$D$970,"Outflow",$F$3:$F$970)+SUM(Bank_Accounts!$E$3:$E$22))</f>
      </c>
      <c r="J970" s="156"/>
      <c r="K970" s="64"/>
    </row>
    <row r="971" spans="1:11" x14ac:dyDescent="0.25">
      <c r="A971" s="65"/>
      <c r="B971" s="64"/>
      <c r="C971" s="64"/>
      <c r="D971" s="64"/>
      <c r="E971" s="64"/>
      <c r="F971" s="66"/>
      <c r="G971" s="64"/>
      <c r="H971" s="64"/>
      <c r="I971" s="157">
        <f>IF(A971="","",SUMIF($D$3:$D$971,"Inflow",$F$3:$F$971)-SUMIF($D$3:$D$971,"Outflow",$F$3:$F$971)+SUM(Bank_Accounts!$E$3:$E$22))</f>
      </c>
      <c r="J971" s="156"/>
      <c r="K971" s="64"/>
    </row>
    <row r="972" spans="1:11" x14ac:dyDescent="0.25">
      <c r="A972" s="65"/>
      <c r="B972" s="64"/>
      <c r="C972" s="64"/>
      <c r="D972" s="64"/>
      <c r="E972" s="64"/>
      <c r="F972" s="66"/>
      <c r="G972" s="64"/>
      <c r="H972" s="64"/>
      <c r="I972" s="157">
        <f>IF(A972="","",SUMIF($D$3:$D$972,"Inflow",$F$3:$F$972)-SUMIF($D$3:$D$972,"Outflow",$F$3:$F$972)+SUM(Bank_Accounts!$E$3:$E$22))</f>
      </c>
      <c r="J972" s="156"/>
      <c r="K972" s="64"/>
    </row>
    <row r="973" spans="1:11" x14ac:dyDescent="0.25">
      <c r="A973" s="65"/>
      <c r="B973" s="64"/>
      <c r="C973" s="64"/>
      <c r="D973" s="64"/>
      <c r="E973" s="64"/>
      <c r="F973" s="66"/>
      <c r="G973" s="64"/>
      <c r="H973" s="64"/>
      <c r="I973" s="157">
        <f>IF(A973="","",SUMIF($D$3:$D$973,"Inflow",$F$3:$F$973)-SUMIF($D$3:$D$973,"Outflow",$F$3:$F$973)+SUM(Bank_Accounts!$E$3:$E$22))</f>
      </c>
      <c r="J973" s="156"/>
      <c r="K973" s="64"/>
    </row>
    <row r="974" spans="1:11" x14ac:dyDescent="0.25">
      <c r="A974" s="65"/>
      <c r="B974" s="64"/>
      <c r="C974" s="64"/>
      <c r="D974" s="64"/>
      <c r="E974" s="64"/>
      <c r="F974" s="66"/>
      <c r="G974" s="64"/>
      <c r="H974" s="64"/>
      <c r="I974" s="157">
        <f>IF(A974="","",SUMIF($D$3:$D$974,"Inflow",$F$3:$F$974)-SUMIF($D$3:$D$974,"Outflow",$F$3:$F$974)+SUM(Bank_Accounts!$E$3:$E$22))</f>
      </c>
      <c r="J974" s="156"/>
      <c r="K974" s="64"/>
    </row>
    <row r="975" spans="1:11" x14ac:dyDescent="0.25">
      <c r="A975" s="65"/>
      <c r="B975" s="64"/>
      <c r="C975" s="64"/>
      <c r="D975" s="64"/>
      <c r="E975" s="64"/>
      <c r="F975" s="66"/>
      <c r="G975" s="64"/>
      <c r="H975" s="64"/>
      <c r="I975" s="157">
        <f>IF(A975="","",SUMIF($D$3:$D$975,"Inflow",$F$3:$F$975)-SUMIF($D$3:$D$975,"Outflow",$F$3:$F$975)+SUM(Bank_Accounts!$E$3:$E$22))</f>
      </c>
      <c r="J975" s="156"/>
      <c r="K975" s="64"/>
    </row>
    <row r="976" spans="1:11" x14ac:dyDescent="0.25">
      <c r="A976" s="65"/>
      <c r="B976" s="64"/>
      <c r="C976" s="64"/>
      <c r="D976" s="64"/>
      <c r="E976" s="64"/>
      <c r="F976" s="66"/>
      <c r="G976" s="64"/>
      <c r="H976" s="64"/>
      <c r="I976" s="157">
        <f>IF(A976="","",SUMIF($D$3:$D$976,"Inflow",$F$3:$F$976)-SUMIF($D$3:$D$976,"Outflow",$F$3:$F$976)+SUM(Bank_Accounts!$E$3:$E$22))</f>
      </c>
      <c r="J976" s="156"/>
      <c r="K976" s="64"/>
    </row>
    <row r="977" spans="1:11" x14ac:dyDescent="0.25">
      <c r="A977" s="65"/>
      <c r="B977" s="64"/>
      <c r="C977" s="64"/>
      <c r="D977" s="64"/>
      <c r="E977" s="64"/>
      <c r="F977" s="66"/>
      <c r="G977" s="64"/>
      <c r="H977" s="64"/>
      <c r="I977" s="157">
        <f>IF(A977="","",SUMIF($D$3:$D$977,"Inflow",$F$3:$F$977)-SUMIF($D$3:$D$977,"Outflow",$F$3:$F$977)+SUM(Bank_Accounts!$E$3:$E$22))</f>
      </c>
      <c r="J977" s="156"/>
      <c r="K977" s="64"/>
    </row>
    <row r="978" spans="1:11" x14ac:dyDescent="0.25">
      <c r="A978" s="65"/>
      <c r="B978" s="64"/>
      <c r="C978" s="64"/>
      <c r="D978" s="64"/>
      <c r="E978" s="64"/>
      <c r="F978" s="66"/>
      <c r="G978" s="64"/>
      <c r="H978" s="64"/>
      <c r="I978" s="157">
        <f>IF(A978="","",SUMIF($D$3:$D$978,"Inflow",$F$3:$F$978)-SUMIF($D$3:$D$978,"Outflow",$F$3:$F$978)+SUM(Bank_Accounts!$E$3:$E$22))</f>
      </c>
      <c r="J978" s="156"/>
      <c r="K978" s="64"/>
    </row>
    <row r="979" spans="1:11" x14ac:dyDescent="0.25">
      <c r="A979" s="65"/>
      <c r="B979" s="64"/>
      <c r="C979" s="64"/>
      <c r="D979" s="64"/>
      <c r="E979" s="64"/>
      <c r="F979" s="66"/>
      <c r="G979" s="64"/>
      <c r="H979" s="64"/>
      <c r="I979" s="157">
        <f>IF(A979="","",SUMIF($D$3:$D$979,"Inflow",$F$3:$F$979)-SUMIF($D$3:$D$979,"Outflow",$F$3:$F$979)+SUM(Bank_Accounts!$E$3:$E$22))</f>
      </c>
      <c r="J979" s="156"/>
      <c r="K979" s="64"/>
    </row>
    <row r="980" spans="1:11" x14ac:dyDescent="0.25">
      <c r="A980" s="65"/>
      <c r="B980" s="64"/>
      <c r="C980" s="64"/>
      <c r="D980" s="64"/>
      <c r="E980" s="64"/>
      <c r="F980" s="66"/>
      <c r="G980" s="64"/>
      <c r="H980" s="64"/>
      <c r="I980" s="157">
        <f>IF(A980="","",SUMIF($D$3:$D$980,"Inflow",$F$3:$F$980)-SUMIF($D$3:$D$980,"Outflow",$F$3:$F$980)+SUM(Bank_Accounts!$E$3:$E$22))</f>
      </c>
      <c r="J980" s="156"/>
      <c r="K980" s="64"/>
    </row>
    <row r="981" spans="1:11" x14ac:dyDescent="0.25">
      <c r="A981" s="65"/>
      <c r="B981" s="64"/>
      <c r="C981" s="64"/>
      <c r="D981" s="64"/>
      <c r="E981" s="64"/>
      <c r="F981" s="66"/>
      <c r="G981" s="64"/>
      <c r="H981" s="64"/>
      <c r="I981" s="157">
        <f>IF(A981="","",SUMIF($D$3:$D$981,"Inflow",$F$3:$F$981)-SUMIF($D$3:$D$981,"Outflow",$F$3:$F$981)+SUM(Bank_Accounts!$E$3:$E$22))</f>
      </c>
      <c r="J981" s="156"/>
      <c r="K981" s="64"/>
    </row>
    <row r="982" spans="1:11" x14ac:dyDescent="0.25">
      <c r="A982" s="65"/>
      <c r="B982" s="64"/>
      <c r="C982" s="64"/>
      <c r="D982" s="64"/>
      <c r="E982" s="64"/>
      <c r="F982" s="66"/>
      <c r="G982" s="64"/>
      <c r="H982" s="64"/>
      <c r="I982" s="157">
        <f>IF(A982="","",SUMIF($D$3:$D$982,"Inflow",$F$3:$F$982)-SUMIF($D$3:$D$982,"Outflow",$F$3:$F$982)+SUM(Bank_Accounts!$E$3:$E$22))</f>
      </c>
      <c r="J982" s="156"/>
      <c r="K982" s="64"/>
    </row>
    <row r="983" spans="1:11" x14ac:dyDescent="0.25">
      <c r="A983" s="65"/>
      <c r="B983" s="64"/>
      <c r="C983" s="64"/>
      <c r="D983" s="64"/>
      <c r="E983" s="64"/>
      <c r="F983" s="66"/>
      <c r="G983" s="64"/>
      <c r="H983" s="64"/>
      <c r="I983" s="157">
        <f>IF(A983="","",SUMIF($D$3:$D$983,"Inflow",$F$3:$F$983)-SUMIF($D$3:$D$983,"Outflow",$F$3:$F$983)+SUM(Bank_Accounts!$E$3:$E$22))</f>
      </c>
      <c r="J983" s="156"/>
      <c r="K983" s="64"/>
    </row>
    <row r="984" spans="1:11" x14ac:dyDescent="0.25">
      <c r="A984" s="65"/>
      <c r="B984" s="64"/>
      <c r="C984" s="64"/>
      <c r="D984" s="64"/>
      <c r="E984" s="64"/>
      <c r="F984" s="66"/>
      <c r="G984" s="64"/>
      <c r="H984" s="64"/>
      <c r="I984" s="157">
        <f>IF(A984="","",SUMIF($D$3:$D$984,"Inflow",$F$3:$F$984)-SUMIF($D$3:$D$984,"Outflow",$F$3:$F$984)+SUM(Bank_Accounts!$E$3:$E$22))</f>
      </c>
      <c r="J984" s="156"/>
      <c r="K984" s="64"/>
    </row>
    <row r="985" spans="1:11" x14ac:dyDescent="0.25">
      <c r="A985" s="65"/>
      <c r="B985" s="64"/>
      <c r="C985" s="64"/>
      <c r="D985" s="64"/>
      <c r="E985" s="64"/>
      <c r="F985" s="66"/>
      <c r="G985" s="64"/>
      <c r="H985" s="64"/>
      <c r="I985" s="157">
        <f>IF(A985="","",SUMIF($D$3:$D$985,"Inflow",$F$3:$F$985)-SUMIF($D$3:$D$985,"Outflow",$F$3:$F$985)+SUM(Bank_Accounts!$E$3:$E$22))</f>
      </c>
      <c r="J985" s="156"/>
      <c r="K985" s="64"/>
    </row>
    <row r="986" spans="1:11" x14ac:dyDescent="0.25">
      <c r="A986" s="65"/>
      <c r="B986" s="64"/>
      <c r="C986" s="64"/>
      <c r="D986" s="64"/>
      <c r="E986" s="64"/>
      <c r="F986" s="66"/>
      <c r="G986" s="64"/>
      <c r="H986" s="64"/>
      <c r="I986" s="157">
        <f>IF(A986="","",SUMIF($D$3:$D$986,"Inflow",$F$3:$F$986)-SUMIF($D$3:$D$986,"Outflow",$F$3:$F$986)+SUM(Bank_Accounts!$E$3:$E$22))</f>
      </c>
      <c r="J986" s="156"/>
      <c r="K986" s="64"/>
    </row>
    <row r="987" spans="1:11" x14ac:dyDescent="0.25">
      <c r="A987" s="65"/>
      <c r="B987" s="64"/>
      <c r="C987" s="64"/>
      <c r="D987" s="64"/>
      <c r="E987" s="64"/>
      <c r="F987" s="66"/>
      <c r="G987" s="64"/>
      <c r="H987" s="64"/>
      <c r="I987" s="157">
        <f>IF(A987="","",SUMIF($D$3:$D$987,"Inflow",$F$3:$F$987)-SUMIF($D$3:$D$987,"Outflow",$F$3:$F$987)+SUM(Bank_Accounts!$E$3:$E$22))</f>
      </c>
      <c r="J987" s="156"/>
      <c r="K987" s="64"/>
    </row>
    <row r="988" spans="1:11" x14ac:dyDescent="0.25">
      <c r="A988" s="65"/>
      <c r="B988" s="64"/>
      <c r="C988" s="64"/>
      <c r="D988" s="64"/>
      <c r="E988" s="64"/>
      <c r="F988" s="66"/>
      <c r="G988" s="64"/>
      <c r="H988" s="64"/>
      <c r="I988" s="157">
        <f>IF(A988="","",SUMIF($D$3:$D$988,"Inflow",$F$3:$F$988)-SUMIF($D$3:$D$988,"Outflow",$F$3:$F$988)+SUM(Bank_Accounts!$E$3:$E$22))</f>
      </c>
      <c r="J988" s="156"/>
      <c r="K988" s="64"/>
    </row>
    <row r="989" spans="1:11" x14ac:dyDescent="0.25">
      <c r="A989" s="65"/>
      <c r="B989" s="64"/>
      <c r="C989" s="64"/>
      <c r="D989" s="64"/>
      <c r="E989" s="64"/>
      <c r="F989" s="66"/>
      <c r="G989" s="64"/>
      <c r="H989" s="64"/>
      <c r="I989" s="157">
        <f>IF(A989="","",SUMIF($D$3:$D$989,"Inflow",$F$3:$F$989)-SUMIF($D$3:$D$989,"Outflow",$F$3:$F$989)+SUM(Bank_Accounts!$E$3:$E$22))</f>
      </c>
      <c r="J989" s="156"/>
      <c r="K989" s="64"/>
    </row>
    <row r="990" spans="1:11" x14ac:dyDescent="0.25">
      <c r="A990" s="65"/>
      <c r="B990" s="64"/>
      <c r="C990" s="64"/>
      <c r="D990" s="64"/>
      <c r="E990" s="64"/>
      <c r="F990" s="66"/>
      <c r="G990" s="64"/>
      <c r="H990" s="64"/>
      <c r="I990" s="157">
        <f>IF(A990="","",SUMIF($D$3:$D$990,"Inflow",$F$3:$F$990)-SUMIF($D$3:$D$990,"Outflow",$F$3:$F$990)+SUM(Bank_Accounts!$E$3:$E$22))</f>
      </c>
      <c r="J990" s="156"/>
      <c r="K990" s="64"/>
    </row>
    <row r="991" spans="1:11" x14ac:dyDescent="0.25">
      <c r="A991" s="65"/>
      <c r="B991" s="64"/>
      <c r="C991" s="64"/>
      <c r="D991" s="64"/>
      <c r="E991" s="64"/>
      <c r="F991" s="66"/>
      <c r="G991" s="64"/>
      <c r="H991" s="64"/>
      <c r="I991" s="157">
        <f>IF(A991="","",SUMIF($D$3:$D$991,"Inflow",$F$3:$F$991)-SUMIF($D$3:$D$991,"Outflow",$F$3:$F$991)+SUM(Bank_Accounts!$E$3:$E$22))</f>
      </c>
      <c r="J991" s="156"/>
      <c r="K991" s="64"/>
    </row>
    <row r="992" spans="1:11" x14ac:dyDescent="0.25">
      <c r="A992" s="65"/>
      <c r="B992" s="64"/>
      <c r="C992" s="64"/>
      <c r="D992" s="64"/>
      <c r="E992" s="64"/>
      <c r="F992" s="66"/>
      <c r="G992" s="64"/>
      <c r="H992" s="64"/>
      <c r="I992" s="157">
        <f>IF(A992="","",SUMIF($D$3:$D$992,"Inflow",$F$3:$F$992)-SUMIF($D$3:$D$992,"Outflow",$F$3:$F$992)+SUM(Bank_Accounts!$E$3:$E$22))</f>
      </c>
      <c r="J992" s="156"/>
      <c r="K992" s="64"/>
    </row>
    <row r="993" spans="1:11" x14ac:dyDescent="0.25">
      <c r="A993" s="65"/>
      <c r="B993" s="64"/>
      <c r="C993" s="64"/>
      <c r="D993" s="64"/>
      <c r="E993" s="64"/>
      <c r="F993" s="66"/>
      <c r="G993" s="64"/>
      <c r="H993" s="64"/>
      <c r="I993" s="157">
        <f>IF(A993="","",SUMIF($D$3:$D$993,"Inflow",$F$3:$F$993)-SUMIF($D$3:$D$993,"Outflow",$F$3:$F$993)+SUM(Bank_Accounts!$E$3:$E$22))</f>
      </c>
      <c r="J993" s="156"/>
      <c r="K993" s="64"/>
    </row>
    <row r="994" spans="1:11" x14ac:dyDescent="0.25">
      <c r="A994" s="65"/>
      <c r="B994" s="64"/>
      <c r="C994" s="64"/>
      <c r="D994" s="64"/>
      <c r="E994" s="64"/>
      <c r="F994" s="66"/>
      <c r="G994" s="64"/>
      <c r="H994" s="64"/>
      <c r="I994" s="157">
        <f>IF(A994="","",SUMIF($D$3:$D$994,"Inflow",$F$3:$F$994)-SUMIF($D$3:$D$994,"Outflow",$F$3:$F$994)+SUM(Bank_Accounts!$E$3:$E$22))</f>
      </c>
      <c r="J994" s="156"/>
      <c r="K994" s="64"/>
    </row>
    <row r="995" spans="1:11" x14ac:dyDescent="0.25">
      <c r="A995" s="65"/>
      <c r="B995" s="64"/>
      <c r="C995" s="64"/>
      <c r="D995" s="64"/>
      <c r="E995" s="64"/>
      <c r="F995" s="66"/>
      <c r="G995" s="64"/>
      <c r="H995" s="64"/>
      <c r="I995" s="157">
        <f>IF(A995="","",SUMIF($D$3:$D$995,"Inflow",$F$3:$F$995)-SUMIF($D$3:$D$995,"Outflow",$F$3:$F$995)+SUM(Bank_Accounts!$E$3:$E$22))</f>
      </c>
      <c r="J995" s="156"/>
      <c r="K995" s="64"/>
    </row>
    <row r="996" spans="1:11" x14ac:dyDescent="0.25">
      <c r="A996" s="65"/>
      <c r="B996" s="64"/>
      <c r="C996" s="64"/>
      <c r="D996" s="64"/>
      <c r="E996" s="64"/>
      <c r="F996" s="66"/>
      <c r="G996" s="64"/>
      <c r="H996" s="64"/>
      <c r="I996" s="157">
        <f>IF(A996="","",SUMIF($D$3:$D$996,"Inflow",$F$3:$F$996)-SUMIF($D$3:$D$996,"Outflow",$F$3:$F$996)+SUM(Bank_Accounts!$E$3:$E$22))</f>
      </c>
      <c r="J996" s="156"/>
      <c r="K996" s="64"/>
    </row>
    <row r="997" spans="1:11" x14ac:dyDescent="0.25">
      <c r="A997" s="65"/>
      <c r="B997" s="64"/>
      <c r="C997" s="64"/>
      <c r="D997" s="64"/>
      <c r="E997" s="64"/>
      <c r="F997" s="66"/>
      <c r="G997" s="64"/>
      <c r="H997" s="64"/>
      <c r="I997" s="157">
        <f>IF(A997="","",SUMIF($D$3:$D$997,"Inflow",$F$3:$F$997)-SUMIF($D$3:$D$997,"Outflow",$F$3:$F$997)+SUM(Bank_Accounts!$E$3:$E$22))</f>
      </c>
      <c r="J997" s="156"/>
      <c r="K997" s="64"/>
    </row>
    <row r="998" spans="1:11" x14ac:dyDescent="0.25">
      <c r="A998" s="65"/>
      <c r="B998" s="64"/>
      <c r="C998" s="64"/>
      <c r="D998" s="64"/>
      <c r="E998" s="64"/>
      <c r="F998" s="66"/>
      <c r="G998" s="64"/>
      <c r="H998" s="64"/>
      <c r="I998" s="157">
        <f>IF(A998="","",SUMIF($D$3:$D$998,"Inflow",$F$3:$F$998)-SUMIF($D$3:$D$998,"Outflow",$F$3:$F$998)+SUM(Bank_Accounts!$E$3:$E$22))</f>
      </c>
      <c r="J998" s="156"/>
      <c r="K998" s="64"/>
    </row>
    <row r="999" spans="1:11" x14ac:dyDescent="0.25">
      <c r="A999" s="65"/>
      <c r="B999" s="64"/>
      <c r="C999" s="64"/>
      <c r="D999" s="64"/>
      <c r="E999" s="64"/>
      <c r="F999" s="66"/>
      <c r="G999" s="64"/>
      <c r="H999" s="64"/>
      <c r="I999" s="157">
        <f>IF(A999="","",SUMIF($D$3:$D$999,"Inflow",$F$3:$F$999)-SUMIF($D$3:$D$999,"Outflow",$F$3:$F$999)+SUM(Bank_Accounts!$E$3:$E$22))</f>
      </c>
      <c r="J999" s="156"/>
      <c r="K999" s="64"/>
    </row>
    <row r="1000" spans="1:11" x14ac:dyDescent="0.25">
      <c r="A1000" s="65"/>
      <c r="B1000" s="64"/>
      <c r="C1000" s="64"/>
      <c r="D1000" s="64"/>
      <c r="E1000" s="64"/>
      <c r="F1000" s="66"/>
      <c r="G1000" s="64"/>
      <c r="H1000" s="64"/>
      <c r="I1000" s="157">
        <f>IF(A1000="","",SUMIF($D$3:$D$1000,"Inflow",$F$3:$F$1000)-SUMIF($D$3:$D$1000,"Outflow",$F$3:$F$1000)+SUM(Bank_Accounts!$E$3:$E$22))</f>
      </c>
      <c r="J1000" s="156"/>
      <c r="K1000" s="64"/>
    </row>
    <row r="1001" spans="1:11" x14ac:dyDescent="0.25">
      <c r="A1001" s="65"/>
      <c r="B1001" s="64"/>
      <c r="C1001" s="64"/>
      <c r="D1001" s="64"/>
      <c r="E1001" s="64"/>
      <c r="F1001" s="66"/>
      <c r="G1001" s="64"/>
      <c r="H1001" s="64"/>
      <c r="I1001" s="157">
        <f>IF(A1001="","",SUMIF($D$3:$D$1001,"Inflow",$F$3:$F$1001)-SUMIF($D$3:$D$1001,"Outflow",$F$3:$F$1001)+SUM(Bank_Accounts!$E$3:$E$22))</f>
      </c>
      <c r="J1001" s="156"/>
      <c r="K1001" s="64"/>
    </row>
    <row r="1002" spans="1:11" x14ac:dyDescent="0.25">
      <c r="A1002" s="65"/>
      <c r="B1002" s="64"/>
      <c r="C1002" s="64"/>
      <c r="D1002" s="64"/>
      <c r="E1002" s="64"/>
      <c r="F1002" s="66"/>
      <c r="G1002" s="64"/>
      <c r="H1002" s="64"/>
      <c r="I1002" s="157">
        <f>IF(A1002="","",SUMIF($D$3:$D$1002,"Inflow",$F$3:$F$1002)-SUMIF($D$3:$D$1002,"Outflow",$F$3:$F$1002)+SUM(Bank_Accounts!$E$3:$E$22))</f>
      </c>
      <c r="J1002" s="156"/>
      <c r="K1002" s="6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D3:D1002">
    <cfRule type="cellIs" dxfId="43" priority="2" operator="equal">
      <formula>"Inflow"</formula>
    </cfRule>
    <cfRule type="cellIs" dxfId="42" priority="3" operator="equal">
      <formula>"Outflow"</formula>
    </cfRule>
  </conditionalFormatting>
  <conditionalFormatting sqref="I3:I1002">
    <cfRule type="cellIs" dxfId="41" priority="4" operator="lessThan">
      <formula>0</formula>
    </cfRule>
  </conditionalFormatting>
  <conditionalFormatting sqref="J3:J1002">
    <cfRule type="cellIs" dxfId="40" priority="5" operator="equal">
      <formula>"Yes"</formula>
    </cfRule>
    <cfRule type="cellIs" dxfId="39" priority="6" operator="equal">
      <formula>"Pending"</formula>
    </cfRule>
    <cfRule type="cellIs" dxfId="38" priority="7" operator="equal">
      <formula>"No"</formula>
    </cfRule>
  </conditionalFormatting>
  <dataValidations count="4">
    <dataValidation type="list" allowBlank="1" sqref="D3:D1002" xr:uid="{00000000-0002-0000-1200-000000000000}">
      <formula1>"Inflow,Outflow"</formula1>
      <formula2>0</formula2>
    </dataValidation>
    <dataValidation type="list" allowBlank="1" sqref="C3:C1002" xr:uid="{00000000-0002-0000-1200-000001000000}">
      <formula1>"Customer_payment,Deposit,Supplier_payment,Payroll,Subcontractor,Rent,Utilities,Fuel,Insurance,Bank_fee,Tax,VAT,Loan_payment,Loan_receipt,Owner_draw,Owner_contribution,Equipment,Marketing,Office,Other"</formula1>
      <formula2>0</formula2>
    </dataValidation>
    <dataValidation type="list" allowBlank="1" sqref="G3:G1002" xr:uid="{00000000-0002-0000-1200-000002000000}">
      <formula1>Bank_ID</formula1>
      <formula2>0</formula2>
    </dataValidation>
    <dataValidation type="list" allowBlank="1" sqref="J3:J1002" xr:uid="{00000000-0002-0000-1200-000003000000}">
      <formula1>"Yes,No,Pending"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K5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2" width="12" customWidth="1"/>
    <col min="3" max="3" width="20" customWidth="1"/>
    <col min="4" max="4" width="24" customWidth="1"/>
    <col min="5" max="5" width="30" customWidth="1"/>
    <col min="6" max="6" width="14" customWidth="1"/>
    <col min="7" max="7" width="12" customWidth="1"/>
    <col min="8" max="8" width="14" customWidth="1"/>
    <col min="9" max="9" width="16" customWidth="1"/>
    <col min="10" max="10" width="14" customWidth="1"/>
    <col min="11" max="11" width="24" customWidth="1"/>
  </cols>
  <sheetData>
    <row r="1" spans="1:11" ht="18" x14ac:dyDescent="0.25">
      <c r="A1" s="60" t="s">
        <v>971</v>
      </c>
      <c r="B1" s="61"/>
      <c r="C1" s="61"/>
      <c r="D1" s="61"/>
      <c r="E1" s="61"/>
      <c r="F1" s="133" t="s">
        <v>972</v>
      </c>
      <c r="G1" s="62" t="s">
        <v>973</v>
      </c>
      <c r="H1" s="69">
        <f>SUM(F3:F502)</f>
        <v>8106.0099999999993</v>
      </c>
      <c r="I1" s="62" t="s">
        <v>974</v>
      </c>
      <c r="J1" s="69">
        <f>SUM(H3:H502)</f>
        <v>1523.9919</v>
      </c>
      <c r="K1" s="69">
        <f>SUM(I3:I502)</f>
        <v>9630.0019000000011</v>
      </c>
    </row>
    <row r="2" spans="1:11" ht="27.75" customHeight="1" x14ac:dyDescent="0.25">
      <c r="A2" s="63" t="s">
        <v>18</v>
      </c>
      <c r="B2" s="63" t="s">
        <v>975</v>
      </c>
      <c r="C2" s="63" t="s">
        <v>334</v>
      </c>
      <c r="D2" s="63" t="s">
        <v>976</v>
      </c>
      <c r="E2" s="63" t="s">
        <v>801</v>
      </c>
      <c r="F2" s="63" t="s">
        <v>977</v>
      </c>
      <c r="G2" s="63" t="s">
        <v>978</v>
      </c>
      <c r="H2" s="63" t="s">
        <v>979</v>
      </c>
      <c r="I2" s="63" t="s">
        <v>980</v>
      </c>
      <c r="J2" s="63" t="s">
        <v>981</v>
      </c>
      <c r="K2" s="63" t="s">
        <v>226</v>
      </c>
    </row>
    <row r="3" spans="1:11" x14ac:dyDescent="0.25">
      <c r="A3" s="65">
        <v>46037</v>
      </c>
      <c r="B3" s="64" t="s">
        <v>982</v>
      </c>
      <c r="C3" s="64" t="s">
        <v>888</v>
      </c>
      <c r="D3" s="64" t="s">
        <v>983</v>
      </c>
      <c r="E3" s="64" t="s">
        <v>889</v>
      </c>
      <c r="F3" s="66">
        <v>1800</v>
      </c>
      <c r="G3" s="67">
        <v>0.19</v>
      </c>
      <c r="H3" s="69">
        <f t="shared" ref="H3:H66" si="0">IFERROR(IF(F3="","",F3*G3),"")</f>
        <v>342</v>
      </c>
      <c r="I3" s="70">
        <f t="shared" ref="I3:I66" si="1">IFERROR(IF(F3="","",F3+H3),"")</f>
        <v>2142</v>
      </c>
      <c r="J3" s="64" t="s">
        <v>984</v>
      </c>
      <c r="K3" s="64"/>
    </row>
    <row r="4" spans="1:11" x14ac:dyDescent="0.25">
      <c r="A4" s="65">
        <v>46042</v>
      </c>
      <c r="B4" s="64" t="s">
        <v>985</v>
      </c>
      <c r="C4" s="64" t="s">
        <v>892</v>
      </c>
      <c r="D4" s="64" t="s">
        <v>894</v>
      </c>
      <c r="E4" s="64" t="s">
        <v>893</v>
      </c>
      <c r="F4" s="66">
        <v>537.82000000000005</v>
      </c>
      <c r="G4" s="67">
        <v>0.19</v>
      </c>
      <c r="H4" s="69">
        <f t="shared" si="0"/>
        <v>102.18580000000001</v>
      </c>
      <c r="I4" s="70">
        <f t="shared" si="1"/>
        <v>640.00580000000002</v>
      </c>
      <c r="J4" s="64" t="s">
        <v>984</v>
      </c>
      <c r="K4" s="64"/>
    </row>
    <row r="5" spans="1:11" x14ac:dyDescent="0.25">
      <c r="A5" s="65">
        <v>46047</v>
      </c>
      <c r="B5" s="64" t="s">
        <v>986</v>
      </c>
      <c r="C5" s="64" t="s">
        <v>987</v>
      </c>
      <c r="D5" s="64" t="s">
        <v>988</v>
      </c>
      <c r="E5" s="64" t="s">
        <v>989</v>
      </c>
      <c r="F5" s="66">
        <v>1850</v>
      </c>
      <c r="G5" s="67">
        <v>0.19</v>
      </c>
      <c r="H5" s="69">
        <f t="shared" si="0"/>
        <v>351.5</v>
      </c>
      <c r="I5" s="70">
        <f t="shared" si="1"/>
        <v>2201.5</v>
      </c>
      <c r="J5" s="64" t="s">
        <v>984</v>
      </c>
      <c r="K5" s="64"/>
    </row>
    <row r="6" spans="1:11" x14ac:dyDescent="0.25">
      <c r="A6" s="65">
        <v>46063</v>
      </c>
      <c r="B6" s="64" t="s">
        <v>990</v>
      </c>
      <c r="C6" s="64" t="s">
        <v>906</v>
      </c>
      <c r="D6" s="64" t="s">
        <v>908</v>
      </c>
      <c r="E6" s="64" t="s">
        <v>991</v>
      </c>
      <c r="F6" s="66">
        <v>436.97</v>
      </c>
      <c r="G6" s="67">
        <v>0.19</v>
      </c>
      <c r="H6" s="69">
        <f t="shared" si="0"/>
        <v>83.024300000000011</v>
      </c>
      <c r="I6" s="70">
        <f t="shared" si="1"/>
        <v>519.99430000000007</v>
      </c>
      <c r="J6" s="64" t="s">
        <v>984</v>
      </c>
      <c r="K6" s="64"/>
    </row>
    <row r="7" spans="1:11" x14ac:dyDescent="0.25">
      <c r="A7" s="65">
        <v>46068</v>
      </c>
      <c r="B7" s="64" t="s">
        <v>992</v>
      </c>
      <c r="C7" s="64" t="s">
        <v>925</v>
      </c>
      <c r="D7" s="64" t="s">
        <v>993</v>
      </c>
      <c r="E7" s="64" t="s">
        <v>994</v>
      </c>
      <c r="F7" s="66">
        <v>1008.4</v>
      </c>
      <c r="G7" s="67">
        <v>0.19</v>
      </c>
      <c r="H7" s="69">
        <f t="shared" si="0"/>
        <v>191.596</v>
      </c>
      <c r="I7" s="70">
        <f t="shared" si="1"/>
        <v>1199.9960000000001</v>
      </c>
      <c r="J7" s="64" t="s">
        <v>984</v>
      </c>
      <c r="K7" s="64"/>
    </row>
    <row r="8" spans="1:11" x14ac:dyDescent="0.25">
      <c r="A8" s="65">
        <v>46075</v>
      </c>
      <c r="B8" s="64" t="s">
        <v>995</v>
      </c>
      <c r="C8" s="64" t="s">
        <v>996</v>
      </c>
      <c r="D8" s="64" t="s">
        <v>997</v>
      </c>
      <c r="E8" s="64" t="s">
        <v>998</v>
      </c>
      <c r="F8" s="66">
        <v>420.17</v>
      </c>
      <c r="G8" s="67">
        <v>0.19</v>
      </c>
      <c r="H8" s="69">
        <f t="shared" si="0"/>
        <v>79.832300000000004</v>
      </c>
      <c r="I8" s="70">
        <f t="shared" si="1"/>
        <v>500.00229999999999</v>
      </c>
      <c r="J8" s="64" t="s">
        <v>984</v>
      </c>
      <c r="K8" s="64"/>
    </row>
    <row r="9" spans="1:11" x14ac:dyDescent="0.25">
      <c r="A9" s="65">
        <v>46086</v>
      </c>
      <c r="B9" s="64" t="s">
        <v>999</v>
      </c>
      <c r="C9" s="64" t="s">
        <v>1000</v>
      </c>
      <c r="D9" s="64" t="s">
        <v>1001</v>
      </c>
      <c r="E9" s="64" t="s">
        <v>1002</v>
      </c>
      <c r="F9" s="66">
        <v>210.08</v>
      </c>
      <c r="G9" s="67">
        <v>0.19</v>
      </c>
      <c r="H9" s="69">
        <f t="shared" si="0"/>
        <v>39.915200000000006</v>
      </c>
      <c r="I9" s="70">
        <f t="shared" si="1"/>
        <v>249.99520000000001</v>
      </c>
      <c r="J9" s="64" t="s">
        <v>984</v>
      </c>
      <c r="K9" s="64"/>
    </row>
    <row r="10" spans="1:11" x14ac:dyDescent="0.25">
      <c r="A10" s="65">
        <v>46093</v>
      </c>
      <c r="B10" s="64" t="s">
        <v>1003</v>
      </c>
      <c r="C10" s="64" t="s">
        <v>468</v>
      </c>
      <c r="D10" s="64" t="s">
        <v>1004</v>
      </c>
      <c r="E10" s="64" t="s">
        <v>1005</v>
      </c>
      <c r="F10" s="66">
        <v>117.65</v>
      </c>
      <c r="G10" s="67">
        <v>0.19</v>
      </c>
      <c r="H10" s="69">
        <f t="shared" si="0"/>
        <v>22.3535</v>
      </c>
      <c r="I10" s="70">
        <f t="shared" si="1"/>
        <v>140.0035</v>
      </c>
      <c r="J10" s="64" t="s">
        <v>984</v>
      </c>
      <c r="K10" s="64"/>
    </row>
    <row r="11" spans="1:11" x14ac:dyDescent="0.25">
      <c r="A11" s="65">
        <v>46101</v>
      </c>
      <c r="B11" s="64" t="s">
        <v>1006</v>
      </c>
      <c r="C11" s="64" t="s">
        <v>1007</v>
      </c>
      <c r="D11" s="64" t="s">
        <v>1008</v>
      </c>
      <c r="E11" s="64" t="s">
        <v>1009</v>
      </c>
      <c r="F11" s="66">
        <v>600</v>
      </c>
      <c r="G11" s="67">
        <v>0.19</v>
      </c>
      <c r="H11" s="69">
        <f t="shared" si="0"/>
        <v>114</v>
      </c>
      <c r="I11" s="70">
        <f t="shared" si="1"/>
        <v>714</v>
      </c>
      <c r="J11" s="64" t="s">
        <v>984</v>
      </c>
      <c r="K11" s="64"/>
    </row>
    <row r="12" spans="1:11" x14ac:dyDescent="0.25">
      <c r="A12" s="65">
        <v>46109</v>
      </c>
      <c r="B12" s="64" t="s">
        <v>1010</v>
      </c>
      <c r="C12" s="64" t="s">
        <v>1011</v>
      </c>
      <c r="D12" s="64" t="s">
        <v>1012</v>
      </c>
      <c r="E12" s="64" t="s">
        <v>1013</v>
      </c>
      <c r="F12" s="66">
        <v>180</v>
      </c>
      <c r="G12" s="67">
        <v>0.19</v>
      </c>
      <c r="H12" s="69">
        <f t="shared" si="0"/>
        <v>34.200000000000003</v>
      </c>
      <c r="I12" s="70">
        <f t="shared" si="1"/>
        <v>214.2</v>
      </c>
      <c r="J12" s="64" t="s">
        <v>984</v>
      </c>
      <c r="K12" s="64"/>
    </row>
    <row r="13" spans="1:11" x14ac:dyDescent="0.25">
      <c r="A13" s="65">
        <v>46114</v>
      </c>
      <c r="B13" s="64" t="s">
        <v>1014</v>
      </c>
      <c r="C13" s="64" t="s">
        <v>892</v>
      </c>
      <c r="D13" s="64" t="s">
        <v>1015</v>
      </c>
      <c r="E13" s="64" t="s">
        <v>1016</v>
      </c>
      <c r="F13" s="66">
        <v>89.92</v>
      </c>
      <c r="G13" s="67">
        <v>0.19</v>
      </c>
      <c r="H13" s="69">
        <f t="shared" si="0"/>
        <v>17.084800000000001</v>
      </c>
      <c r="I13" s="70">
        <f t="shared" si="1"/>
        <v>107.0048</v>
      </c>
      <c r="J13" s="64" t="s">
        <v>984</v>
      </c>
      <c r="K13" s="64"/>
    </row>
    <row r="14" spans="1:11" x14ac:dyDescent="0.25">
      <c r="A14" s="65">
        <v>46122</v>
      </c>
      <c r="B14" s="64" t="s">
        <v>1017</v>
      </c>
      <c r="C14" s="64" t="s">
        <v>830</v>
      </c>
      <c r="D14" s="64" t="s">
        <v>1018</v>
      </c>
      <c r="E14" s="64" t="s">
        <v>1019</v>
      </c>
      <c r="F14" s="66">
        <v>320</v>
      </c>
      <c r="G14" s="67">
        <v>0.19</v>
      </c>
      <c r="H14" s="69">
        <f t="shared" si="0"/>
        <v>60.8</v>
      </c>
      <c r="I14" s="70">
        <f t="shared" si="1"/>
        <v>380.8</v>
      </c>
      <c r="J14" s="64" t="s">
        <v>984</v>
      </c>
      <c r="K14" s="64"/>
    </row>
    <row r="15" spans="1:11" x14ac:dyDescent="0.25">
      <c r="A15" s="65">
        <v>46127</v>
      </c>
      <c r="B15" s="64" t="s">
        <v>1020</v>
      </c>
      <c r="C15" s="64" t="s">
        <v>1021</v>
      </c>
      <c r="D15" s="64" t="s">
        <v>957</v>
      </c>
      <c r="E15" s="64" t="s">
        <v>1022</v>
      </c>
      <c r="F15" s="66">
        <v>85</v>
      </c>
      <c r="G15" s="67">
        <v>0</v>
      </c>
      <c r="H15" s="69">
        <f t="shared" si="0"/>
        <v>0</v>
      </c>
      <c r="I15" s="70">
        <f t="shared" si="1"/>
        <v>85</v>
      </c>
      <c r="J15" s="64" t="s">
        <v>984</v>
      </c>
      <c r="K15" s="64"/>
    </row>
    <row r="16" spans="1:11" x14ac:dyDescent="0.25">
      <c r="A16" s="65">
        <v>46130</v>
      </c>
      <c r="B16" s="64" t="s">
        <v>1023</v>
      </c>
      <c r="C16" s="64" t="s">
        <v>1024</v>
      </c>
      <c r="D16" s="64" t="s">
        <v>1025</v>
      </c>
      <c r="E16" s="64" t="s">
        <v>1026</v>
      </c>
      <c r="F16" s="66">
        <v>450</v>
      </c>
      <c r="G16" s="67">
        <v>0.19</v>
      </c>
      <c r="H16" s="69">
        <f t="shared" si="0"/>
        <v>85.5</v>
      </c>
      <c r="I16" s="70">
        <f t="shared" si="1"/>
        <v>535.5</v>
      </c>
      <c r="J16" s="64" t="s">
        <v>984</v>
      </c>
      <c r="K16" s="64"/>
    </row>
    <row r="17" spans="1:11" x14ac:dyDescent="0.25">
      <c r="A17" s="65"/>
      <c r="B17" s="64"/>
      <c r="C17" s="64"/>
      <c r="D17" s="64"/>
      <c r="E17" s="64"/>
      <c r="F17" s="66"/>
      <c r="G17" s="67"/>
      <c r="H17" s="69" t="str">
        <f t="shared" si="0"/>
        <v/>
      </c>
      <c r="I17" s="70" t="str">
        <f t="shared" si="1"/>
        <v/>
      </c>
      <c r="J17" s="64"/>
      <c r="K17" s="64"/>
    </row>
    <row r="18" spans="1:11" x14ac:dyDescent="0.25">
      <c r="A18" s="65"/>
      <c r="B18" s="64"/>
      <c r="C18" s="64"/>
      <c r="D18" s="64"/>
      <c r="E18" s="64"/>
      <c r="F18" s="66"/>
      <c r="G18" s="67"/>
      <c r="H18" s="69" t="str">
        <f t="shared" si="0"/>
        <v/>
      </c>
      <c r="I18" s="70" t="str">
        <f t="shared" si="1"/>
        <v/>
      </c>
      <c r="J18" s="64"/>
      <c r="K18" s="64"/>
    </row>
    <row r="19" spans="1:11" x14ac:dyDescent="0.25">
      <c r="A19" s="65"/>
      <c r="B19" s="64"/>
      <c r="C19" s="64"/>
      <c r="D19" s="64"/>
      <c r="E19" s="64"/>
      <c r="F19" s="66"/>
      <c r="G19" s="67"/>
      <c r="H19" s="69" t="str">
        <f t="shared" si="0"/>
        <v/>
      </c>
      <c r="I19" s="70" t="str">
        <f t="shared" si="1"/>
        <v/>
      </c>
      <c r="J19" s="64"/>
      <c r="K19" s="64"/>
    </row>
    <row r="20" spans="1:11" x14ac:dyDescent="0.25">
      <c r="A20" s="65"/>
      <c r="B20" s="64"/>
      <c r="C20" s="64"/>
      <c r="D20" s="64"/>
      <c r="E20" s="64"/>
      <c r="F20" s="66"/>
      <c r="G20" s="67"/>
      <c r="H20" s="69" t="str">
        <f t="shared" si="0"/>
        <v/>
      </c>
      <c r="I20" s="70" t="str">
        <f t="shared" si="1"/>
        <v/>
      </c>
      <c r="J20" s="64"/>
      <c r="K20" s="64"/>
    </row>
    <row r="21" spans="1:11" x14ac:dyDescent="0.25">
      <c r="A21" s="65"/>
      <c r="B21" s="64"/>
      <c r="C21" s="64"/>
      <c r="D21" s="64"/>
      <c r="E21" s="64"/>
      <c r="F21" s="66"/>
      <c r="G21" s="67"/>
      <c r="H21" s="69" t="str">
        <f t="shared" si="0"/>
        <v/>
      </c>
      <c r="I21" s="70" t="str">
        <f t="shared" si="1"/>
        <v/>
      </c>
      <c r="J21" s="64"/>
      <c r="K21" s="64"/>
    </row>
    <row r="22" spans="1:11" x14ac:dyDescent="0.25">
      <c r="A22" s="65"/>
      <c r="B22" s="64"/>
      <c r="C22" s="64"/>
      <c r="D22" s="64"/>
      <c r="E22" s="64"/>
      <c r="F22" s="66"/>
      <c r="G22" s="67"/>
      <c r="H22" s="69" t="str">
        <f t="shared" si="0"/>
        <v/>
      </c>
      <c r="I22" s="70" t="str">
        <f t="shared" si="1"/>
        <v/>
      </c>
      <c r="J22" s="64"/>
      <c r="K22" s="64"/>
    </row>
    <row r="23" spans="1:11" x14ac:dyDescent="0.25">
      <c r="A23" s="65"/>
      <c r="B23" s="64"/>
      <c r="C23" s="64"/>
      <c r="D23" s="64"/>
      <c r="E23" s="64"/>
      <c r="F23" s="66"/>
      <c r="G23" s="67"/>
      <c r="H23" s="69" t="str">
        <f t="shared" si="0"/>
        <v/>
      </c>
      <c r="I23" s="70" t="str">
        <f t="shared" si="1"/>
        <v/>
      </c>
      <c r="J23" s="64"/>
      <c r="K23" s="64"/>
    </row>
    <row r="24" spans="1:11" x14ac:dyDescent="0.25">
      <c r="A24" s="65"/>
      <c r="B24" s="64"/>
      <c r="C24" s="64"/>
      <c r="D24" s="64"/>
      <c r="E24" s="64"/>
      <c r="F24" s="66"/>
      <c r="G24" s="67"/>
      <c r="H24" s="69" t="str">
        <f t="shared" si="0"/>
        <v/>
      </c>
      <c r="I24" s="70" t="str">
        <f t="shared" si="1"/>
        <v/>
      </c>
      <c r="J24" s="64"/>
      <c r="K24" s="64"/>
    </row>
    <row r="25" spans="1:11" x14ac:dyDescent="0.25">
      <c r="A25" s="65"/>
      <c r="B25" s="64"/>
      <c r="C25" s="64"/>
      <c r="D25" s="64"/>
      <c r="E25" s="64"/>
      <c r="F25" s="66"/>
      <c r="G25" s="67"/>
      <c r="H25" s="69" t="str">
        <f t="shared" si="0"/>
        <v/>
      </c>
      <c r="I25" s="70" t="str">
        <f t="shared" si="1"/>
        <v/>
      </c>
      <c r="J25" s="64"/>
      <c r="K25" s="64"/>
    </row>
    <row r="26" spans="1:11" x14ac:dyDescent="0.25">
      <c r="A26" s="65"/>
      <c r="B26" s="64"/>
      <c r="C26" s="64"/>
      <c r="D26" s="64"/>
      <c r="E26" s="64"/>
      <c r="F26" s="66"/>
      <c r="G26" s="67"/>
      <c r="H26" s="69" t="str">
        <f t="shared" si="0"/>
        <v/>
      </c>
      <c r="I26" s="70" t="str">
        <f t="shared" si="1"/>
        <v/>
      </c>
      <c r="J26" s="64"/>
      <c r="K26" s="64"/>
    </row>
    <row r="27" spans="1:11" x14ac:dyDescent="0.25">
      <c r="A27" s="65"/>
      <c r="B27" s="64"/>
      <c r="C27" s="64"/>
      <c r="D27" s="64"/>
      <c r="E27" s="64"/>
      <c r="F27" s="66"/>
      <c r="G27" s="67"/>
      <c r="H27" s="69" t="str">
        <f t="shared" si="0"/>
        <v/>
      </c>
      <c r="I27" s="70" t="str">
        <f t="shared" si="1"/>
        <v/>
      </c>
      <c r="J27" s="64"/>
      <c r="K27" s="64"/>
    </row>
    <row r="28" spans="1:11" x14ac:dyDescent="0.25">
      <c r="A28" s="65"/>
      <c r="B28" s="64"/>
      <c r="C28" s="64"/>
      <c r="D28" s="64"/>
      <c r="E28" s="64"/>
      <c r="F28" s="66"/>
      <c r="G28" s="67"/>
      <c r="H28" s="69" t="str">
        <f t="shared" si="0"/>
        <v/>
      </c>
      <c r="I28" s="70" t="str">
        <f t="shared" si="1"/>
        <v/>
      </c>
      <c r="J28" s="64"/>
      <c r="K28" s="64"/>
    </row>
    <row r="29" spans="1:11" x14ac:dyDescent="0.25">
      <c r="A29" s="65"/>
      <c r="B29" s="64"/>
      <c r="C29" s="64"/>
      <c r="D29" s="64"/>
      <c r="E29" s="64"/>
      <c r="F29" s="66"/>
      <c r="G29" s="67"/>
      <c r="H29" s="69" t="str">
        <f t="shared" si="0"/>
        <v/>
      </c>
      <c r="I29" s="70" t="str">
        <f t="shared" si="1"/>
        <v/>
      </c>
      <c r="J29" s="64"/>
      <c r="K29" s="64"/>
    </row>
    <row r="30" spans="1:11" x14ac:dyDescent="0.25">
      <c r="A30" s="65"/>
      <c r="B30" s="64"/>
      <c r="C30" s="64"/>
      <c r="D30" s="64"/>
      <c r="E30" s="64"/>
      <c r="F30" s="66"/>
      <c r="G30" s="67"/>
      <c r="H30" s="69" t="str">
        <f t="shared" si="0"/>
        <v/>
      </c>
      <c r="I30" s="70" t="str">
        <f t="shared" si="1"/>
        <v/>
      </c>
      <c r="J30" s="64"/>
      <c r="K30" s="64"/>
    </row>
    <row r="31" spans="1:11" x14ac:dyDescent="0.25">
      <c r="A31" s="65"/>
      <c r="B31" s="64"/>
      <c r="C31" s="64"/>
      <c r="D31" s="64"/>
      <c r="E31" s="64"/>
      <c r="F31" s="66"/>
      <c r="G31" s="67"/>
      <c r="H31" s="69" t="str">
        <f t="shared" si="0"/>
        <v/>
      </c>
      <c r="I31" s="70" t="str">
        <f t="shared" si="1"/>
        <v/>
      </c>
      <c r="J31" s="64"/>
      <c r="K31" s="64"/>
    </row>
    <row r="32" spans="1:11" x14ac:dyDescent="0.25">
      <c r="A32" s="65"/>
      <c r="B32" s="64"/>
      <c r="C32" s="64"/>
      <c r="D32" s="64"/>
      <c r="E32" s="64"/>
      <c r="F32" s="66"/>
      <c r="G32" s="67"/>
      <c r="H32" s="69" t="str">
        <f t="shared" si="0"/>
        <v/>
      </c>
      <c r="I32" s="70" t="str">
        <f t="shared" si="1"/>
        <v/>
      </c>
      <c r="J32" s="64"/>
      <c r="K32" s="64"/>
    </row>
    <row r="33" spans="1:11" x14ac:dyDescent="0.25">
      <c r="A33" s="65"/>
      <c r="B33" s="64"/>
      <c r="C33" s="64"/>
      <c r="D33" s="64"/>
      <c r="E33" s="64"/>
      <c r="F33" s="66"/>
      <c r="G33" s="67"/>
      <c r="H33" s="69" t="str">
        <f t="shared" si="0"/>
        <v/>
      </c>
      <c r="I33" s="70" t="str">
        <f t="shared" si="1"/>
        <v/>
      </c>
      <c r="J33" s="64"/>
      <c r="K33" s="64"/>
    </row>
    <row r="34" spans="1:11" x14ac:dyDescent="0.25">
      <c r="A34" s="65"/>
      <c r="B34" s="64"/>
      <c r="C34" s="64"/>
      <c r="D34" s="64"/>
      <c r="E34" s="64"/>
      <c r="F34" s="66"/>
      <c r="G34" s="67"/>
      <c r="H34" s="69" t="str">
        <f t="shared" si="0"/>
        <v/>
      </c>
      <c r="I34" s="70" t="str">
        <f t="shared" si="1"/>
        <v/>
      </c>
      <c r="J34" s="64"/>
      <c r="K34" s="64"/>
    </row>
    <row r="35" spans="1:11" x14ac:dyDescent="0.25">
      <c r="A35" s="65"/>
      <c r="B35" s="64"/>
      <c r="C35" s="64"/>
      <c r="D35" s="64"/>
      <c r="E35" s="64"/>
      <c r="F35" s="66"/>
      <c r="G35" s="67"/>
      <c r="H35" s="69" t="str">
        <f t="shared" si="0"/>
        <v/>
      </c>
      <c r="I35" s="70" t="str">
        <f t="shared" si="1"/>
        <v/>
      </c>
      <c r="J35" s="64"/>
      <c r="K35" s="64"/>
    </row>
    <row r="36" spans="1:11" x14ac:dyDescent="0.25">
      <c r="A36" s="65"/>
      <c r="B36" s="64"/>
      <c r="C36" s="64"/>
      <c r="D36" s="64"/>
      <c r="E36" s="64"/>
      <c r="F36" s="66"/>
      <c r="G36" s="67"/>
      <c r="H36" s="69" t="str">
        <f t="shared" si="0"/>
        <v/>
      </c>
      <c r="I36" s="70" t="str">
        <f t="shared" si="1"/>
        <v/>
      </c>
      <c r="J36" s="64"/>
      <c r="K36" s="64"/>
    </row>
    <row r="37" spans="1:11" x14ac:dyDescent="0.25">
      <c r="A37" s="65"/>
      <c r="B37" s="64"/>
      <c r="C37" s="64"/>
      <c r="D37" s="64"/>
      <c r="E37" s="64"/>
      <c r="F37" s="66"/>
      <c r="G37" s="67"/>
      <c r="H37" s="69" t="str">
        <f t="shared" si="0"/>
        <v/>
      </c>
      <c r="I37" s="70" t="str">
        <f t="shared" si="1"/>
        <v/>
      </c>
      <c r="J37" s="64"/>
      <c r="K37" s="64"/>
    </row>
    <row r="38" spans="1:11" x14ac:dyDescent="0.25">
      <c r="A38" s="65"/>
      <c r="B38" s="64"/>
      <c r="C38" s="64"/>
      <c r="D38" s="64"/>
      <c r="E38" s="64"/>
      <c r="F38" s="66"/>
      <c r="G38" s="67"/>
      <c r="H38" s="69" t="str">
        <f t="shared" si="0"/>
        <v/>
      </c>
      <c r="I38" s="70" t="str">
        <f t="shared" si="1"/>
        <v/>
      </c>
      <c r="J38" s="64"/>
      <c r="K38" s="64"/>
    </row>
    <row r="39" spans="1:11" x14ac:dyDescent="0.25">
      <c r="A39" s="65"/>
      <c r="B39" s="64"/>
      <c r="C39" s="64"/>
      <c r="D39" s="64"/>
      <c r="E39" s="64"/>
      <c r="F39" s="66"/>
      <c r="G39" s="67"/>
      <c r="H39" s="69" t="str">
        <f t="shared" si="0"/>
        <v/>
      </c>
      <c r="I39" s="70" t="str">
        <f t="shared" si="1"/>
        <v/>
      </c>
      <c r="J39" s="64"/>
      <c r="K39" s="64"/>
    </row>
    <row r="40" spans="1:11" x14ac:dyDescent="0.25">
      <c r="A40" s="65"/>
      <c r="B40" s="64"/>
      <c r="C40" s="64"/>
      <c r="D40" s="64"/>
      <c r="E40" s="64"/>
      <c r="F40" s="66"/>
      <c r="G40" s="67"/>
      <c r="H40" s="69" t="str">
        <f t="shared" si="0"/>
        <v/>
      </c>
      <c r="I40" s="70" t="str">
        <f t="shared" si="1"/>
        <v/>
      </c>
      <c r="J40" s="64"/>
      <c r="K40" s="64"/>
    </row>
    <row r="41" spans="1:11" x14ac:dyDescent="0.25">
      <c r="A41" s="65"/>
      <c r="B41" s="64"/>
      <c r="C41" s="64"/>
      <c r="D41" s="64"/>
      <c r="E41" s="64"/>
      <c r="F41" s="66"/>
      <c r="G41" s="67"/>
      <c r="H41" s="69" t="str">
        <f t="shared" si="0"/>
        <v/>
      </c>
      <c r="I41" s="70" t="str">
        <f t="shared" si="1"/>
        <v/>
      </c>
      <c r="J41" s="64"/>
      <c r="K41" s="64"/>
    </row>
    <row r="42" spans="1:11" x14ac:dyDescent="0.25">
      <c r="A42" s="65"/>
      <c r="B42" s="64"/>
      <c r="C42" s="64"/>
      <c r="D42" s="64"/>
      <c r="E42" s="64"/>
      <c r="F42" s="66"/>
      <c r="G42" s="67"/>
      <c r="H42" s="69" t="str">
        <f t="shared" si="0"/>
        <v/>
      </c>
      <c r="I42" s="70" t="str">
        <f t="shared" si="1"/>
        <v/>
      </c>
      <c r="J42" s="64"/>
      <c r="K42" s="64"/>
    </row>
    <row r="43" spans="1:11" x14ac:dyDescent="0.25">
      <c r="A43" s="65"/>
      <c r="B43" s="64"/>
      <c r="C43" s="64"/>
      <c r="D43" s="64"/>
      <c r="E43" s="64"/>
      <c r="F43" s="66"/>
      <c r="G43" s="67"/>
      <c r="H43" s="69" t="str">
        <f t="shared" si="0"/>
        <v/>
      </c>
      <c r="I43" s="70" t="str">
        <f t="shared" si="1"/>
        <v/>
      </c>
      <c r="J43" s="64"/>
      <c r="K43" s="64"/>
    </row>
    <row r="44" spans="1:11" x14ac:dyDescent="0.25">
      <c r="A44" s="65"/>
      <c r="B44" s="64"/>
      <c r="C44" s="64"/>
      <c r="D44" s="64"/>
      <c r="E44" s="64"/>
      <c r="F44" s="66"/>
      <c r="G44" s="67"/>
      <c r="H44" s="69" t="str">
        <f t="shared" si="0"/>
        <v/>
      </c>
      <c r="I44" s="70" t="str">
        <f t="shared" si="1"/>
        <v/>
      </c>
      <c r="J44" s="64"/>
      <c r="K44" s="64"/>
    </row>
    <row r="45" spans="1:11" x14ac:dyDescent="0.25">
      <c r="A45" s="65"/>
      <c r="B45" s="64"/>
      <c r="C45" s="64"/>
      <c r="D45" s="64"/>
      <c r="E45" s="64"/>
      <c r="F45" s="66"/>
      <c r="G45" s="67"/>
      <c r="H45" s="69" t="str">
        <f t="shared" si="0"/>
        <v/>
      </c>
      <c r="I45" s="70" t="str">
        <f t="shared" si="1"/>
        <v/>
      </c>
      <c r="J45" s="64"/>
      <c r="K45" s="64"/>
    </row>
    <row r="46" spans="1:11" x14ac:dyDescent="0.25">
      <c r="A46" s="65"/>
      <c r="B46" s="64"/>
      <c r="C46" s="64"/>
      <c r="D46" s="64"/>
      <c r="E46" s="64"/>
      <c r="F46" s="66"/>
      <c r="G46" s="67"/>
      <c r="H46" s="69" t="str">
        <f t="shared" si="0"/>
        <v/>
      </c>
      <c r="I46" s="70" t="str">
        <f t="shared" si="1"/>
        <v/>
      </c>
      <c r="J46" s="64"/>
      <c r="K46" s="64"/>
    </row>
    <row r="47" spans="1:11" x14ac:dyDescent="0.25">
      <c r="A47" s="65"/>
      <c r="B47" s="64"/>
      <c r="C47" s="64"/>
      <c r="D47" s="64"/>
      <c r="E47" s="64"/>
      <c r="F47" s="66"/>
      <c r="G47" s="67"/>
      <c r="H47" s="69" t="str">
        <f t="shared" si="0"/>
        <v/>
      </c>
      <c r="I47" s="70" t="str">
        <f t="shared" si="1"/>
        <v/>
      </c>
      <c r="J47" s="64"/>
      <c r="K47" s="64"/>
    </row>
    <row r="48" spans="1:11" x14ac:dyDescent="0.25">
      <c r="A48" s="65"/>
      <c r="B48" s="64"/>
      <c r="C48" s="64"/>
      <c r="D48" s="64"/>
      <c r="E48" s="64"/>
      <c r="F48" s="66"/>
      <c r="G48" s="67"/>
      <c r="H48" s="69" t="str">
        <f t="shared" si="0"/>
        <v/>
      </c>
      <c r="I48" s="70" t="str">
        <f t="shared" si="1"/>
        <v/>
      </c>
      <c r="J48" s="64"/>
      <c r="K48" s="64"/>
    </row>
    <row r="49" spans="1:11" x14ac:dyDescent="0.25">
      <c r="A49" s="65"/>
      <c r="B49" s="64"/>
      <c r="C49" s="64"/>
      <c r="D49" s="64"/>
      <c r="E49" s="64"/>
      <c r="F49" s="66"/>
      <c r="G49" s="67"/>
      <c r="H49" s="69" t="str">
        <f t="shared" si="0"/>
        <v/>
      </c>
      <c r="I49" s="70" t="str">
        <f t="shared" si="1"/>
        <v/>
      </c>
      <c r="J49" s="64"/>
      <c r="K49" s="64"/>
    </row>
    <row r="50" spans="1:11" x14ac:dyDescent="0.25">
      <c r="A50" s="65"/>
      <c r="B50" s="64"/>
      <c r="C50" s="64"/>
      <c r="D50" s="64"/>
      <c r="E50" s="64"/>
      <c r="F50" s="66"/>
      <c r="G50" s="67"/>
      <c r="H50" s="69" t="str">
        <f t="shared" si="0"/>
        <v/>
      </c>
      <c r="I50" s="70" t="str">
        <f t="shared" si="1"/>
        <v/>
      </c>
      <c r="J50" s="64"/>
      <c r="K50" s="64"/>
    </row>
    <row r="51" spans="1:11" x14ac:dyDescent="0.25">
      <c r="A51" s="65"/>
      <c r="B51" s="64"/>
      <c r="C51" s="64"/>
      <c r="D51" s="64"/>
      <c r="E51" s="64"/>
      <c r="F51" s="66"/>
      <c r="G51" s="67"/>
      <c r="H51" s="69" t="str">
        <f t="shared" si="0"/>
        <v/>
      </c>
      <c r="I51" s="70" t="str">
        <f t="shared" si="1"/>
        <v/>
      </c>
      <c r="J51" s="64"/>
      <c r="K51" s="64"/>
    </row>
    <row r="52" spans="1:11" x14ac:dyDescent="0.25">
      <c r="A52" s="65"/>
      <c r="B52" s="64"/>
      <c r="C52" s="64"/>
      <c r="D52" s="64"/>
      <c r="E52" s="64"/>
      <c r="F52" s="66"/>
      <c r="G52" s="67"/>
      <c r="H52" s="69" t="str">
        <f t="shared" si="0"/>
        <v/>
      </c>
      <c r="I52" s="70" t="str">
        <f t="shared" si="1"/>
        <v/>
      </c>
      <c r="J52" s="64"/>
      <c r="K52" s="64"/>
    </row>
    <row r="53" spans="1:11" x14ac:dyDescent="0.25">
      <c r="A53" s="65"/>
      <c r="B53" s="64"/>
      <c r="C53" s="64"/>
      <c r="D53" s="64"/>
      <c r="E53" s="64"/>
      <c r="F53" s="66"/>
      <c r="G53" s="67"/>
      <c r="H53" s="69" t="str">
        <f t="shared" si="0"/>
        <v/>
      </c>
      <c r="I53" s="70" t="str">
        <f t="shared" si="1"/>
        <v/>
      </c>
      <c r="J53" s="64"/>
      <c r="K53" s="64"/>
    </row>
    <row r="54" spans="1:11" x14ac:dyDescent="0.25">
      <c r="A54" s="65"/>
      <c r="B54" s="64"/>
      <c r="C54" s="64"/>
      <c r="D54" s="64"/>
      <c r="E54" s="64"/>
      <c r="F54" s="66"/>
      <c r="G54" s="67"/>
      <c r="H54" s="69" t="str">
        <f t="shared" si="0"/>
        <v/>
      </c>
      <c r="I54" s="70" t="str">
        <f t="shared" si="1"/>
        <v/>
      </c>
      <c r="J54" s="64"/>
      <c r="K54" s="64"/>
    </row>
    <row r="55" spans="1:11" x14ac:dyDescent="0.25">
      <c r="A55" s="65"/>
      <c r="B55" s="64"/>
      <c r="C55" s="64"/>
      <c r="D55" s="64"/>
      <c r="E55" s="64"/>
      <c r="F55" s="66"/>
      <c r="G55" s="67"/>
      <c r="H55" s="69" t="str">
        <f t="shared" si="0"/>
        <v/>
      </c>
      <c r="I55" s="70" t="str">
        <f t="shared" si="1"/>
        <v/>
      </c>
      <c r="J55" s="64"/>
      <c r="K55" s="64"/>
    </row>
    <row r="56" spans="1:11" x14ac:dyDescent="0.25">
      <c r="A56" s="65"/>
      <c r="B56" s="64"/>
      <c r="C56" s="64"/>
      <c r="D56" s="64"/>
      <c r="E56" s="64"/>
      <c r="F56" s="66"/>
      <c r="G56" s="67"/>
      <c r="H56" s="69" t="str">
        <f t="shared" si="0"/>
        <v/>
      </c>
      <c r="I56" s="70" t="str">
        <f t="shared" si="1"/>
        <v/>
      </c>
      <c r="J56" s="64"/>
      <c r="K56" s="64"/>
    </row>
    <row r="57" spans="1:11" x14ac:dyDescent="0.25">
      <c r="A57" s="65"/>
      <c r="B57" s="64"/>
      <c r="C57" s="64"/>
      <c r="D57" s="64"/>
      <c r="E57" s="64"/>
      <c r="F57" s="66"/>
      <c r="G57" s="67"/>
      <c r="H57" s="69" t="str">
        <f t="shared" si="0"/>
        <v/>
      </c>
      <c r="I57" s="70" t="str">
        <f t="shared" si="1"/>
        <v/>
      </c>
      <c r="J57" s="64"/>
      <c r="K57" s="64"/>
    </row>
    <row r="58" spans="1:11" x14ac:dyDescent="0.25">
      <c r="A58" s="65"/>
      <c r="B58" s="64"/>
      <c r="C58" s="64"/>
      <c r="D58" s="64"/>
      <c r="E58" s="64"/>
      <c r="F58" s="66"/>
      <c r="G58" s="67"/>
      <c r="H58" s="69" t="str">
        <f t="shared" si="0"/>
        <v/>
      </c>
      <c r="I58" s="70" t="str">
        <f t="shared" si="1"/>
        <v/>
      </c>
      <c r="J58" s="64"/>
      <c r="K58" s="64"/>
    </row>
    <row r="59" spans="1:11" x14ac:dyDescent="0.25">
      <c r="A59" s="65"/>
      <c r="B59" s="64"/>
      <c r="C59" s="64"/>
      <c r="D59" s="64"/>
      <c r="E59" s="64"/>
      <c r="F59" s="66"/>
      <c r="G59" s="67"/>
      <c r="H59" s="69" t="str">
        <f t="shared" si="0"/>
        <v/>
      </c>
      <c r="I59" s="70" t="str">
        <f t="shared" si="1"/>
        <v/>
      </c>
      <c r="J59" s="64"/>
      <c r="K59" s="64"/>
    </row>
    <row r="60" spans="1:11" x14ac:dyDescent="0.25">
      <c r="A60" s="65"/>
      <c r="B60" s="64"/>
      <c r="C60" s="64"/>
      <c r="D60" s="64"/>
      <c r="E60" s="64"/>
      <c r="F60" s="66"/>
      <c r="G60" s="67"/>
      <c r="H60" s="69" t="str">
        <f t="shared" si="0"/>
        <v/>
      </c>
      <c r="I60" s="70" t="str">
        <f t="shared" si="1"/>
        <v/>
      </c>
      <c r="J60" s="64"/>
      <c r="K60" s="64"/>
    </row>
    <row r="61" spans="1:11" x14ac:dyDescent="0.25">
      <c r="A61" s="65"/>
      <c r="B61" s="64"/>
      <c r="C61" s="64"/>
      <c r="D61" s="64"/>
      <c r="E61" s="64"/>
      <c r="F61" s="66"/>
      <c r="G61" s="67"/>
      <c r="H61" s="69" t="str">
        <f t="shared" si="0"/>
        <v/>
      </c>
      <c r="I61" s="70" t="str">
        <f t="shared" si="1"/>
        <v/>
      </c>
      <c r="J61" s="64"/>
      <c r="K61" s="64"/>
    </row>
    <row r="62" spans="1:11" x14ac:dyDescent="0.25">
      <c r="A62" s="65"/>
      <c r="B62" s="64"/>
      <c r="C62" s="64"/>
      <c r="D62" s="64"/>
      <c r="E62" s="64"/>
      <c r="F62" s="66"/>
      <c r="G62" s="67"/>
      <c r="H62" s="69" t="str">
        <f t="shared" si="0"/>
        <v/>
      </c>
      <c r="I62" s="70" t="str">
        <f t="shared" si="1"/>
        <v/>
      </c>
      <c r="J62" s="64"/>
      <c r="K62" s="64"/>
    </row>
    <row r="63" spans="1:11" x14ac:dyDescent="0.25">
      <c r="A63" s="65"/>
      <c r="B63" s="64"/>
      <c r="C63" s="64"/>
      <c r="D63" s="64"/>
      <c r="E63" s="64"/>
      <c r="F63" s="66"/>
      <c r="G63" s="67"/>
      <c r="H63" s="69" t="str">
        <f t="shared" si="0"/>
        <v/>
      </c>
      <c r="I63" s="70" t="str">
        <f t="shared" si="1"/>
        <v/>
      </c>
      <c r="J63" s="64"/>
      <c r="K63" s="64"/>
    </row>
    <row r="64" spans="1:11" x14ac:dyDescent="0.25">
      <c r="A64" s="65"/>
      <c r="B64" s="64"/>
      <c r="C64" s="64"/>
      <c r="D64" s="64"/>
      <c r="E64" s="64"/>
      <c r="F64" s="66"/>
      <c r="G64" s="67"/>
      <c r="H64" s="69" t="str">
        <f t="shared" si="0"/>
        <v/>
      </c>
      <c r="I64" s="70" t="str">
        <f t="shared" si="1"/>
        <v/>
      </c>
      <c r="J64" s="64"/>
      <c r="K64" s="64"/>
    </row>
    <row r="65" spans="1:11" x14ac:dyDescent="0.25">
      <c r="A65" s="65"/>
      <c r="B65" s="64"/>
      <c r="C65" s="64"/>
      <c r="D65" s="64"/>
      <c r="E65" s="64"/>
      <c r="F65" s="66"/>
      <c r="G65" s="67"/>
      <c r="H65" s="69" t="str">
        <f t="shared" si="0"/>
        <v/>
      </c>
      <c r="I65" s="70" t="str">
        <f t="shared" si="1"/>
        <v/>
      </c>
      <c r="J65" s="64"/>
      <c r="K65" s="64"/>
    </row>
    <row r="66" spans="1:11" x14ac:dyDescent="0.25">
      <c r="A66" s="65"/>
      <c r="B66" s="64"/>
      <c r="C66" s="64"/>
      <c r="D66" s="64"/>
      <c r="E66" s="64"/>
      <c r="F66" s="66"/>
      <c r="G66" s="67"/>
      <c r="H66" s="69" t="str">
        <f t="shared" si="0"/>
        <v/>
      </c>
      <c r="I66" s="70" t="str">
        <f t="shared" si="1"/>
        <v/>
      </c>
      <c r="J66" s="64"/>
      <c r="K66" s="64"/>
    </row>
    <row r="67" spans="1:11" x14ac:dyDescent="0.25">
      <c r="A67" s="65"/>
      <c r="B67" s="64"/>
      <c r="C67" s="64"/>
      <c r="D67" s="64"/>
      <c r="E67" s="64"/>
      <c r="F67" s="66"/>
      <c r="G67" s="67"/>
      <c r="H67" s="69" t="str">
        <f t="shared" ref="H67:H130" si="2">IFERROR(IF(F67="","",F67*G67),"")</f>
        <v/>
      </c>
      <c r="I67" s="70" t="str">
        <f t="shared" ref="I67:I130" si="3">IFERROR(IF(F67="","",F67+H67),"")</f>
        <v/>
      </c>
      <c r="J67" s="64"/>
      <c r="K67" s="64"/>
    </row>
    <row r="68" spans="1:11" x14ac:dyDescent="0.25">
      <c r="A68" s="65"/>
      <c r="B68" s="64"/>
      <c r="C68" s="64"/>
      <c r="D68" s="64"/>
      <c r="E68" s="64"/>
      <c r="F68" s="66"/>
      <c r="G68" s="67"/>
      <c r="H68" s="69" t="str">
        <f t="shared" si="2"/>
        <v/>
      </c>
      <c r="I68" s="70" t="str">
        <f t="shared" si="3"/>
        <v/>
      </c>
      <c r="J68" s="64"/>
      <c r="K68" s="64"/>
    </row>
    <row r="69" spans="1:11" x14ac:dyDescent="0.25">
      <c r="A69" s="65"/>
      <c r="B69" s="64"/>
      <c r="C69" s="64"/>
      <c r="D69" s="64"/>
      <c r="E69" s="64"/>
      <c r="F69" s="66"/>
      <c r="G69" s="67"/>
      <c r="H69" s="69" t="str">
        <f t="shared" si="2"/>
        <v/>
      </c>
      <c r="I69" s="70" t="str">
        <f t="shared" si="3"/>
        <v/>
      </c>
      <c r="J69" s="64"/>
      <c r="K69" s="64"/>
    </row>
    <row r="70" spans="1:11" x14ac:dyDescent="0.25">
      <c r="A70" s="65"/>
      <c r="B70" s="64"/>
      <c r="C70" s="64"/>
      <c r="D70" s="64"/>
      <c r="E70" s="64"/>
      <c r="F70" s="66"/>
      <c r="G70" s="67"/>
      <c r="H70" s="69" t="str">
        <f t="shared" si="2"/>
        <v/>
      </c>
      <c r="I70" s="70" t="str">
        <f t="shared" si="3"/>
        <v/>
      </c>
      <c r="J70" s="64"/>
      <c r="K70" s="64"/>
    </row>
    <row r="71" spans="1:11" x14ac:dyDescent="0.25">
      <c r="A71" s="65"/>
      <c r="B71" s="64"/>
      <c r="C71" s="64"/>
      <c r="D71" s="64"/>
      <c r="E71" s="64"/>
      <c r="F71" s="66"/>
      <c r="G71" s="67"/>
      <c r="H71" s="69" t="str">
        <f t="shared" si="2"/>
        <v/>
      </c>
      <c r="I71" s="70" t="str">
        <f t="shared" si="3"/>
        <v/>
      </c>
      <c r="J71" s="64"/>
      <c r="K71" s="64"/>
    </row>
    <row r="72" spans="1:11" x14ac:dyDescent="0.25">
      <c r="A72" s="65"/>
      <c r="B72" s="64"/>
      <c r="C72" s="64"/>
      <c r="D72" s="64"/>
      <c r="E72" s="64"/>
      <c r="F72" s="66"/>
      <c r="G72" s="67"/>
      <c r="H72" s="69" t="str">
        <f t="shared" si="2"/>
        <v/>
      </c>
      <c r="I72" s="70" t="str">
        <f t="shared" si="3"/>
        <v/>
      </c>
      <c r="J72" s="64"/>
      <c r="K72" s="64"/>
    </row>
    <row r="73" spans="1:11" x14ac:dyDescent="0.25">
      <c r="A73" s="65"/>
      <c r="B73" s="64"/>
      <c r="C73" s="64"/>
      <c r="D73" s="64"/>
      <c r="E73" s="64"/>
      <c r="F73" s="66"/>
      <c r="G73" s="67"/>
      <c r="H73" s="69" t="str">
        <f t="shared" si="2"/>
        <v/>
      </c>
      <c r="I73" s="70" t="str">
        <f t="shared" si="3"/>
        <v/>
      </c>
      <c r="J73" s="64"/>
      <c r="K73" s="64"/>
    </row>
    <row r="74" spans="1:11" x14ac:dyDescent="0.25">
      <c r="A74" s="65"/>
      <c r="B74" s="64"/>
      <c r="C74" s="64"/>
      <c r="D74" s="64"/>
      <c r="E74" s="64"/>
      <c r="F74" s="66"/>
      <c r="G74" s="67"/>
      <c r="H74" s="69" t="str">
        <f t="shared" si="2"/>
        <v/>
      </c>
      <c r="I74" s="70" t="str">
        <f t="shared" si="3"/>
        <v/>
      </c>
      <c r="J74" s="64"/>
      <c r="K74" s="64"/>
    </row>
    <row r="75" spans="1:11" x14ac:dyDescent="0.25">
      <c r="A75" s="65"/>
      <c r="B75" s="64"/>
      <c r="C75" s="64"/>
      <c r="D75" s="64"/>
      <c r="E75" s="64"/>
      <c r="F75" s="66"/>
      <c r="G75" s="67"/>
      <c r="H75" s="69" t="str">
        <f t="shared" si="2"/>
        <v/>
      </c>
      <c r="I75" s="70" t="str">
        <f t="shared" si="3"/>
        <v/>
      </c>
      <c r="J75" s="64"/>
      <c r="K75" s="64"/>
    </row>
    <row r="76" spans="1:11" x14ac:dyDescent="0.25">
      <c r="A76" s="65"/>
      <c r="B76" s="64"/>
      <c r="C76" s="64"/>
      <c r="D76" s="64"/>
      <c r="E76" s="64"/>
      <c r="F76" s="66"/>
      <c r="G76" s="67"/>
      <c r="H76" s="69" t="str">
        <f t="shared" si="2"/>
        <v/>
      </c>
      <c r="I76" s="70" t="str">
        <f t="shared" si="3"/>
        <v/>
      </c>
      <c r="J76" s="64"/>
      <c r="K76" s="64"/>
    </row>
    <row r="77" spans="1:11" x14ac:dyDescent="0.25">
      <c r="A77" s="65"/>
      <c r="B77" s="64"/>
      <c r="C77" s="64"/>
      <c r="D77" s="64"/>
      <c r="E77" s="64"/>
      <c r="F77" s="66"/>
      <c r="G77" s="67"/>
      <c r="H77" s="69" t="str">
        <f t="shared" si="2"/>
        <v/>
      </c>
      <c r="I77" s="70" t="str">
        <f t="shared" si="3"/>
        <v/>
      </c>
      <c r="J77" s="64"/>
      <c r="K77" s="64"/>
    </row>
    <row r="78" spans="1:11" x14ac:dyDescent="0.25">
      <c r="A78" s="65"/>
      <c r="B78" s="64"/>
      <c r="C78" s="64"/>
      <c r="D78" s="64"/>
      <c r="E78" s="64"/>
      <c r="F78" s="66"/>
      <c r="G78" s="67"/>
      <c r="H78" s="69" t="str">
        <f t="shared" si="2"/>
        <v/>
      </c>
      <c r="I78" s="70" t="str">
        <f t="shared" si="3"/>
        <v/>
      </c>
      <c r="J78" s="64"/>
      <c r="K78" s="64"/>
    </row>
    <row r="79" spans="1:11" x14ac:dyDescent="0.25">
      <c r="A79" s="65"/>
      <c r="B79" s="64"/>
      <c r="C79" s="64"/>
      <c r="D79" s="64"/>
      <c r="E79" s="64"/>
      <c r="F79" s="66"/>
      <c r="G79" s="67"/>
      <c r="H79" s="69" t="str">
        <f t="shared" si="2"/>
        <v/>
      </c>
      <c r="I79" s="70" t="str">
        <f t="shared" si="3"/>
        <v/>
      </c>
      <c r="J79" s="64"/>
      <c r="K79" s="64"/>
    </row>
    <row r="80" spans="1:11" x14ac:dyDescent="0.25">
      <c r="A80" s="65"/>
      <c r="B80" s="64"/>
      <c r="C80" s="64"/>
      <c r="D80" s="64"/>
      <c r="E80" s="64"/>
      <c r="F80" s="66"/>
      <c r="G80" s="67"/>
      <c r="H80" s="69" t="str">
        <f t="shared" si="2"/>
        <v/>
      </c>
      <c r="I80" s="70" t="str">
        <f t="shared" si="3"/>
        <v/>
      </c>
      <c r="J80" s="64"/>
      <c r="K80" s="64"/>
    </row>
    <row r="81" spans="1:11" x14ac:dyDescent="0.25">
      <c r="A81" s="65"/>
      <c r="B81" s="64"/>
      <c r="C81" s="64"/>
      <c r="D81" s="64"/>
      <c r="E81" s="64"/>
      <c r="F81" s="66"/>
      <c r="G81" s="67"/>
      <c r="H81" s="69" t="str">
        <f t="shared" si="2"/>
        <v/>
      </c>
      <c r="I81" s="70" t="str">
        <f t="shared" si="3"/>
        <v/>
      </c>
      <c r="J81" s="64"/>
      <c r="K81" s="64"/>
    </row>
    <row r="82" spans="1:11" x14ac:dyDescent="0.25">
      <c r="A82" s="65"/>
      <c r="B82" s="64"/>
      <c r="C82" s="64"/>
      <c r="D82" s="64"/>
      <c r="E82" s="64"/>
      <c r="F82" s="66"/>
      <c r="G82" s="67"/>
      <c r="H82" s="69" t="str">
        <f t="shared" si="2"/>
        <v/>
      </c>
      <c r="I82" s="70" t="str">
        <f t="shared" si="3"/>
        <v/>
      </c>
      <c r="J82" s="64"/>
      <c r="K82" s="64"/>
    </row>
    <row r="83" spans="1:11" x14ac:dyDescent="0.25">
      <c r="A83" s="65"/>
      <c r="B83" s="64"/>
      <c r="C83" s="64"/>
      <c r="D83" s="64"/>
      <c r="E83" s="64"/>
      <c r="F83" s="66"/>
      <c r="G83" s="67"/>
      <c r="H83" s="69" t="str">
        <f t="shared" si="2"/>
        <v/>
      </c>
      <c r="I83" s="70" t="str">
        <f t="shared" si="3"/>
        <v/>
      </c>
      <c r="J83" s="64"/>
      <c r="K83" s="64"/>
    </row>
    <row r="84" spans="1:11" x14ac:dyDescent="0.25">
      <c r="A84" s="65"/>
      <c r="B84" s="64"/>
      <c r="C84" s="64"/>
      <c r="D84" s="64"/>
      <c r="E84" s="64"/>
      <c r="F84" s="66"/>
      <c r="G84" s="67"/>
      <c r="H84" s="69" t="str">
        <f t="shared" si="2"/>
        <v/>
      </c>
      <c r="I84" s="70" t="str">
        <f t="shared" si="3"/>
        <v/>
      </c>
      <c r="J84" s="64"/>
      <c r="K84" s="64"/>
    </row>
    <row r="85" spans="1:11" x14ac:dyDescent="0.25">
      <c r="A85" s="65"/>
      <c r="B85" s="64"/>
      <c r="C85" s="64"/>
      <c r="D85" s="64"/>
      <c r="E85" s="64"/>
      <c r="F85" s="66"/>
      <c r="G85" s="67"/>
      <c r="H85" s="69" t="str">
        <f t="shared" si="2"/>
        <v/>
      </c>
      <c r="I85" s="70" t="str">
        <f t="shared" si="3"/>
        <v/>
      </c>
      <c r="J85" s="64"/>
      <c r="K85" s="64"/>
    </row>
    <row r="86" spans="1:11" x14ac:dyDescent="0.25">
      <c r="A86" s="65"/>
      <c r="B86" s="64"/>
      <c r="C86" s="64"/>
      <c r="D86" s="64"/>
      <c r="E86" s="64"/>
      <c r="F86" s="66"/>
      <c r="G86" s="67"/>
      <c r="H86" s="69" t="str">
        <f t="shared" si="2"/>
        <v/>
      </c>
      <c r="I86" s="70" t="str">
        <f t="shared" si="3"/>
        <v/>
      </c>
      <c r="J86" s="64"/>
      <c r="K86" s="64"/>
    </row>
    <row r="87" spans="1:11" x14ac:dyDescent="0.25">
      <c r="A87" s="65"/>
      <c r="B87" s="64"/>
      <c r="C87" s="64"/>
      <c r="D87" s="64"/>
      <c r="E87" s="64"/>
      <c r="F87" s="66"/>
      <c r="G87" s="67"/>
      <c r="H87" s="69" t="str">
        <f t="shared" si="2"/>
        <v/>
      </c>
      <c r="I87" s="70" t="str">
        <f t="shared" si="3"/>
        <v/>
      </c>
      <c r="J87" s="64"/>
      <c r="K87" s="64"/>
    </row>
    <row r="88" spans="1:11" x14ac:dyDescent="0.25">
      <c r="A88" s="65"/>
      <c r="B88" s="64"/>
      <c r="C88" s="64"/>
      <c r="D88" s="64"/>
      <c r="E88" s="64"/>
      <c r="F88" s="66"/>
      <c r="G88" s="67"/>
      <c r="H88" s="69" t="str">
        <f t="shared" si="2"/>
        <v/>
      </c>
      <c r="I88" s="70" t="str">
        <f t="shared" si="3"/>
        <v/>
      </c>
      <c r="J88" s="64"/>
      <c r="K88" s="64"/>
    </row>
    <row r="89" spans="1:11" x14ac:dyDescent="0.25">
      <c r="A89" s="65"/>
      <c r="B89" s="64"/>
      <c r="C89" s="64"/>
      <c r="D89" s="64"/>
      <c r="E89" s="64"/>
      <c r="F89" s="66"/>
      <c r="G89" s="67"/>
      <c r="H89" s="69" t="str">
        <f t="shared" si="2"/>
        <v/>
      </c>
      <c r="I89" s="70" t="str">
        <f t="shared" si="3"/>
        <v/>
      </c>
      <c r="J89" s="64"/>
      <c r="K89" s="64"/>
    </row>
    <row r="90" spans="1:11" x14ac:dyDescent="0.25">
      <c r="A90" s="65"/>
      <c r="B90" s="64"/>
      <c r="C90" s="64"/>
      <c r="D90" s="64"/>
      <c r="E90" s="64"/>
      <c r="F90" s="66"/>
      <c r="G90" s="67"/>
      <c r="H90" s="69" t="str">
        <f t="shared" si="2"/>
        <v/>
      </c>
      <c r="I90" s="70" t="str">
        <f t="shared" si="3"/>
        <v/>
      </c>
      <c r="J90" s="64"/>
      <c r="K90" s="64"/>
    </row>
    <row r="91" spans="1:11" x14ac:dyDescent="0.25">
      <c r="A91" s="65"/>
      <c r="B91" s="64"/>
      <c r="C91" s="64"/>
      <c r="D91" s="64"/>
      <c r="E91" s="64"/>
      <c r="F91" s="66"/>
      <c r="G91" s="67"/>
      <c r="H91" s="69" t="str">
        <f t="shared" si="2"/>
        <v/>
      </c>
      <c r="I91" s="70" t="str">
        <f t="shared" si="3"/>
        <v/>
      </c>
      <c r="J91" s="64"/>
      <c r="K91" s="64"/>
    </row>
    <row r="92" spans="1:11" x14ac:dyDescent="0.25">
      <c r="A92" s="65"/>
      <c r="B92" s="64"/>
      <c r="C92" s="64"/>
      <c r="D92" s="64"/>
      <c r="E92" s="64"/>
      <c r="F92" s="66"/>
      <c r="G92" s="67"/>
      <c r="H92" s="69" t="str">
        <f t="shared" si="2"/>
        <v/>
      </c>
      <c r="I92" s="70" t="str">
        <f t="shared" si="3"/>
        <v/>
      </c>
      <c r="J92" s="64"/>
      <c r="K92" s="64"/>
    </row>
    <row r="93" spans="1:11" x14ac:dyDescent="0.25">
      <c r="A93" s="65"/>
      <c r="B93" s="64"/>
      <c r="C93" s="64"/>
      <c r="D93" s="64"/>
      <c r="E93" s="64"/>
      <c r="F93" s="66"/>
      <c r="G93" s="67"/>
      <c r="H93" s="69" t="str">
        <f t="shared" si="2"/>
        <v/>
      </c>
      <c r="I93" s="70" t="str">
        <f t="shared" si="3"/>
        <v/>
      </c>
      <c r="J93" s="64"/>
      <c r="K93" s="64"/>
    </row>
    <row r="94" spans="1:11" x14ac:dyDescent="0.25">
      <c r="A94" s="65"/>
      <c r="B94" s="64"/>
      <c r="C94" s="64"/>
      <c r="D94" s="64"/>
      <c r="E94" s="64"/>
      <c r="F94" s="66"/>
      <c r="G94" s="67"/>
      <c r="H94" s="69" t="str">
        <f t="shared" si="2"/>
        <v/>
      </c>
      <c r="I94" s="70" t="str">
        <f t="shared" si="3"/>
        <v/>
      </c>
      <c r="J94" s="64"/>
      <c r="K94" s="64"/>
    </row>
    <row r="95" spans="1:11" x14ac:dyDescent="0.25">
      <c r="A95" s="65"/>
      <c r="B95" s="64"/>
      <c r="C95" s="64"/>
      <c r="D95" s="64"/>
      <c r="E95" s="64"/>
      <c r="F95" s="66"/>
      <c r="G95" s="67"/>
      <c r="H95" s="69" t="str">
        <f t="shared" si="2"/>
        <v/>
      </c>
      <c r="I95" s="70" t="str">
        <f t="shared" si="3"/>
        <v/>
      </c>
      <c r="J95" s="64"/>
      <c r="K95" s="64"/>
    </row>
    <row r="96" spans="1:11" x14ac:dyDescent="0.25">
      <c r="A96" s="65"/>
      <c r="B96" s="64"/>
      <c r="C96" s="64"/>
      <c r="D96" s="64"/>
      <c r="E96" s="64"/>
      <c r="F96" s="66"/>
      <c r="G96" s="67"/>
      <c r="H96" s="69" t="str">
        <f t="shared" si="2"/>
        <v/>
      </c>
      <c r="I96" s="70" t="str">
        <f t="shared" si="3"/>
        <v/>
      </c>
      <c r="J96" s="64"/>
      <c r="K96" s="64"/>
    </row>
    <row r="97" spans="1:11" x14ac:dyDescent="0.25">
      <c r="A97" s="65"/>
      <c r="B97" s="64"/>
      <c r="C97" s="64"/>
      <c r="D97" s="64"/>
      <c r="E97" s="64"/>
      <c r="F97" s="66"/>
      <c r="G97" s="67"/>
      <c r="H97" s="69" t="str">
        <f t="shared" si="2"/>
        <v/>
      </c>
      <c r="I97" s="70" t="str">
        <f t="shared" si="3"/>
        <v/>
      </c>
      <c r="J97" s="64"/>
      <c r="K97" s="64"/>
    </row>
    <row r="98" spans="1:11" x14ac:dyDescent="0.25">
      <c r="A98" s="65"/>
      <c r="B98" s="64"/>
      <c r="C98" s="64"/>
      <c r="D98" s="64"/>
      <c r="E98" s="64"/>
      <c r="F98" s="66"/>
      <c r="G98" s="67"/>
      <c r="H98" s="69" t="str">
        <f t="shared" si="2"/>
        <v/>
      </c>
      <c r="I98" s="70" t="str">
        <f t="shared" si="3"/>
        <v/>
      </c>
      <c r="J98" s="64"/>
      <c r="K98" s="64"/>
    </row>
    <row r="99" spans="1:11" x14ac:dyDescent="0.25">
      <c r="A99" s="65"/>
      <c r="B99" s="64"/>
      <c r="C99" s="64"/>
      <c r="D99" s="64"/>
      <c r="E99" s="64"/>
      <c r="F99" s="66"/>
      <c r="G99" s="67"/>
      <c r="H99" s="69" t="str">
        <f t="shared" si="2"/>
        <v/>
      </c>
      <c r="I99" s="70" t="str">
        <f t="shared" si="3"/>
        <v/>
      </c>
      <c r="J99" s="64"/>
      <c r="K99" s="64"/>
    </row>
    <row r="100" spans="1:11" x14ac:dyDescent="0.25">
      <c r="A100" s="65"/>
      <c r="B100" s="64"/>
      <c r="C100" s="64"/>
      <c r="D100" s="64"/>
      <c r="E100" s="64"/>
      <c r="F100" s="66"/>
      <c r="G100" s="67"/>
      <c r="H100" s="69" t="str">
        <f t="shared" si="2"/>
        <v/>
      </c>
      <c r="I100" s="70" t="str">
        <f t="shared" si="3"/>
        <v/>
      </c>
      <c r="J100" s="64"/>
      <c r="K100" s="64"/>
    </row>
    <row r="101" spans="1:11" x14ac:dyDescent="0.25">
      <c r="A101" s="65"/>
      <c r="B101" s="64"/>
      <c r="C101" s="64"/>
      <c r="D101" s="64"/>
      <c r="E101" s="64"/>
      <c r="F101" s="66"/>
      <c r="G101" s="67"/>
      <c r="H101" s="69" t="str">
        <f t="shared" si="2"/>
        <v/>
      </c>
      <c r="I101" s="70" t="str">
        <f t="shared" si="3"/>
        <v/>
      </c>
      <c r="J101" s="64"/>
      <c r="K101" s="64"/>
    </row>
    <row r="102" spans="1:11" x14ac:dyDescent="0.25">
      <c r="A102" s="65"/>
      <c r="B102" s="64"/>
      <c r="C102" s="64"/>
      <c r="D102" s="64"/>
      <c r="E102" s="64"/>
      <c r="F102" s="66"/>
      <c r="G102" s="67"/>
      <c r="H102" s="69" t="str">
        <f t="shared" si="2"/>
        <v/>
      </c>
      <c r="I102" s="70" t="str">
        <f t="shared" si="3"/>
        <v/>
      </c>
      <c r="J102" s="64"/>
      <c r="K102" s="64"/>
    </row>
    <row r="103" spans="1:11" x14ac:dyDescent="0.25">
      <c r="A103" s="65"/>
      <c r="B103" s="64"/>
      <c r="C103" s="64"/>
      <c r="D103" s="64"/>
      <c r="E103" s="64"/>
      <c r="F103" s="66"/>
      <c r="G103" s="67"/>
      <c r="H103" s="69" t="str">
        <f t="shared" si="2"/>
        <v/>
      </c>
      <c r="I103" s="70" t="str">
        <f t="shared" si="3"/>
        <v/>
      </c>
      <c r="J103" s="64"/>
      <c r="K103" s="64"/>
    </row>
    <row r="104" spans="1:11" x14ac:dyDescent="0.25">
      <c r="A104" s="65"/>
      <c r="B104" s="64"/>
      <c r="C104" s="64"/>
      <c r="D104" s="64"/>
      <c r="E104" s="64"/>
      <c r="F104" s="66"/>
      <c r="G104" s="67"/>
      <c r="H104" s="69" t="str">
        <f t="shared" si="2"/>
        <v/>
      </c>
      <c r="I104" s="70" t="str">
        <f t="shared" si="3"/>
        <v/>
      </c>
      <c r="J104" s="64"/>
      <c r="K104" s="64"/>
    </row>
    <row r="105" spans="1:11" x14ac:dyDescent="0.25">
      <c r="A105" s="65"/>
      <c r="B105" s="64"/>
      <c r="C105" s="64"/>
      <c r="D105" s="64"/>
      <c r="E105" s="64"/>
      <c r="F105" s="66"/>
      <c r="G105" s="67"/>
      <c r="H105" s="69" t="str">
        <f t="shared" si="2"/>
        <v/>
      </c>
      <c r="I105" s="70" t="str">
        <f t="shared" si="3"/>
        <v/>
      </c>
      <c r="J105" s="64"/>
      <c r="K105" s="64"/>
    </row>
    <row r="106" spans="1:11" x14ac:dyDescent="0.25">
      <c r="A106" s="65"/>
      <c r="B106" s="64"/>
      <c r="C106" s="64"/>
      <c r="D106" s="64"/>
      <c r="E106" s="64"/>
      <c r="F106" s="66"/>
      <c r="G106" s="67"/>
      <c r="H106" s="69" t="str">
        <f t="shared" si="2"/>
        <v/>
      </c>
      <c r="I106" s="70" t="str">
        <f t="shared" si="3"/>
        <v/>
      </c>
      <c r="J106" s="64"/>
      <c r="K106" s="64"/>
    </row>
    <row r="107" spans="1:11" x14ac:dyDescent="0.25">
      <c r="A107" s="65"/>
      <c r="B107" s="64"/>
      <c r="C107" s="64"/>
      <c r="D107" s="64"/>
      <c r="E107" s="64"/>
      <c r="F107" s="66"/>
      <c r="G107" s="67"/>
      <c r="H107" s="69" t="str">
        <f t="shared" si="2"/>
        <v/>
      </c>
      <c r="I107" s="70" t="str">
        <f t="shared" si="3"/>
        <v/>
      </c>
      <c r="J107" s="64"/>
      <c r="K107" s="64"/>
    </row>
    <row r="108" spans="1:11" x14ac:dyDescent="0.25">
      <c r="A108" s="65"/>
      <c r="B108" s="64"/>
      <c r="C108" s="64"/>
      <c r="D108" s="64"/>
      <c r="E108" s="64"/>
      <c r="F108" s="66"/>
      <c r="G108" s="67"/>
      <c r="H108" s="69" t="str">
        <f t="shared" si="2"/>
        <v/>
      </c>
      <c r="I108" s="70" t="str">
        <f t="shared" si="3"/>
        <v/>
      </c>
      <c r="J108" s="64"/>
      <c r="K108" s="64"/>
    </row>
    <row r="109" spans="1:11" x14ac:dyDescent="0.25">
      <c r="A109" s="65"/>
      <c r="B109" s="64"/>
      <c r="C109" s="64"/>
      <c r="D109" s="64"/>
      <c r="E109" s="64"/>
      <c r="F109" s="66"/>
      <c r="G109" s="67"/>
      <c r="H109" s="69" t="str">
        <f t="shared" si="2"/>
        <v/>
      </c>
      <c r="I109" s="70" t="str">
        <f t="shared" si="3"/>
        <v/>
      </c>
      <c r="J109" s="64"/>
      <c r="K109" s="64"/>
    </row>
    <row r="110" spans="1:11" x14ac:dyDescent="0.25">
      <c r="A110" s="65"/>
      <c r="B110" s="64"/>
      <c r="C110" s="64"/>
      <c r="D110" s="64"/>
      <c r="E110" s="64"/>
      <c r="F110" s="66"/>
      <c r="G110" s="67"/>
      <c r="H110" s="69" t="str">
        <f t="shared" si="2"/>
        <v/>
      </c>
      <c r="I110" s="70" t="str">
        <f t="shared" si="3"/>
        <v/>
      </c>
      <c r="J110" s="64"/>
      <c r="K110" s="64"/>
    </row>
    <row r="111" spans="1:11" x14ac:dyDescent="0.25">
      <c r="A111" s="65"/>
      <c r="B111" s="64"/>
      <c r="C111" s="64"/>
      <c r="D111" s="64"/>
      <c r="E111" s="64"/>
      <c r="F111" s="66"/>
      <c r="G111" s="67"/>
      <c r="H111" s="69" t="str">
        <f t="shared" si="2"/>
        <v/>
      </c>
      <c r="I111" s="70" t="str">
        <f t="shared" si="3"/>
        <v/>
      </c>
      <c r="J111" s="64"/>
      <c r="K111" s="64"/>
    </row>
    <row r="112" spans="1:11" x14ac:dyDescent="0.25">
      <c r="A112" s="65"/>
      <c r="B112" s="64"/>
      <c r="C112" s="64"/>
      <c r="D112" s="64"/>
      <c r="E112" s="64"/>
      <c r="F112" s="66"/>
      <c r="G112" s="67"/>
      <c r="H112" s="69" t="str">
        <f t="shared" si="2"/>
        <v/>
      </c>
      <c r="I112" s="70" t="str">
        <f t="shared" si="3"/>
        <v/>
      </c>
      <c r="J112" s="64"/>
      <c r="K112" s="64"/>
    </row>
    <row r="113" spans="1:11" x14ac:dyDescent="0.25">
      <c r="A113" s="65"/>
      <c r="B113" s="64"/>
      <c r="C113" s="64"/>
      <c r="D113" s="64"/>
      <c r="E113" s="64"/>
      <c r="F113" s="66"/>
      <c r="G113" s="67"/>
      <c r="H113" s="69" t="str">
        <f t="shared" si="2"/>
        <v/>
      </c>
      <c r="I113" s="70" t="str">
        <f t="shared" si="3"/>
        <v/>
      </c>
      <c r="J113" s="64"/>
      <c r="K113" s="64"/>
    </row>
    <row r="114" spans="1:11" x14ac:dyDescent="0.25">
      <c r="A114" s="65"/>
      <c r="B114" s="64"/>
      <c r="C114" s="64"/>
      <c r="D114" s="64"/>
      <c r="E114" s="64"/>
      <c r="F114" s="66"/>
      <c r="G114" s="67"/>
      <c r="H114" s="69" t="str">
        <f t="shared" si="2"/>
        <v/>
      </c>
      <c r="I114" s="70" t="str">
        <f t="shared" si="3"/>
        <v/>
      </c>
      <c r="J114" s="64"/>
      <c r="K114" s="64"/>
    </row>
    <row r="115" spans="1:11" x14ac:dyDescent="0.25">
      <c r="A115" s="65"/>
      <c r="B115" s="64"/>
      <c r="C115" s="64"/>
      <c r="D115" s="64"/>
      <c r="E115" s="64"/>
      <c r="F115" s="66"/>
      <c r="G115" s="67"/>
      <c r="H115" s="69" t="str">
        <f t="shared" si="2"/>
        <v/>
      </c>
      <c r="I115" s="70" t="str">
        <f t="shared" si="3"/>
        <v/>
      </c>
      <c r="J115" s="64"/>
      <c r="K115" s="64"/>
    </row>
    <row r="116" spans="1:11" x14ac:dyDescent="0.25">
      <c r="A116" s="65"/>
      <c r="B116" s="64"/>
      <c r="C116" s="64"/>
      <c r="D116" s="64"/>
      <c r="E116" s="64"/>
      <c r="F116" s="66"/>
      <c r="G116" s="67"/>
      <c r="H116" s="69" t="str">
        <f t="shared" si="2"/>
        <v/>
      </c>
      <c r="I116" s="70" t="str">
        <f t="shared" si="3"/>
        <v/>
      </c>
      <c r="J116" s="64"/>
      <c r="K116" s="64"/>
    </row>
    <row r="117" spans="1:11" x14ac:dyDescent="0.25">
      <c r="A117" s="65"/>
      <c r="B117" s="64"/>
      <c r="C117" s="64"/>
      <c r="D117" s="64"/>
      <c r="E117" s="64"/>
      <c r="F117" s="66"/>
      <c r="G117" s="67"/>
      <c r="H117" s="69" t="str">
        <f t="shared" si="2"/>
        <v/>
      </c>
      <c r="I117" s="70" t="str">
        <f t="shared" si="3"/>
        <v/>
      </c>
      <c r="J117" s="64"/>
      <c r="K117" s="64"/>
    </row>
    <row r="118" spans="1:11" x14ac:dyDescent="0.25">
      <c r="A118" s="65"/>
      <c r="B118" s="64"/>
      <c r="C118" s="64"/>
      <c r="D118" s="64"/>
      <c r="E118" s="64"/>
      <c r="F118" s="66"/>
      <c r="G118" s="67"/>
      <c r="H118" s="69" t="str">
        <f t="shared" si="2"/>
        <v/>
      </c>
      <c r="I118" s="70" t="str">
        <f t="shared" si="3"/>
        <v/>
      </c>
      <c r="J118" s="64"/>
      <c r="K118" s="64"/>
    </row>
    <row r="119" spans="1:11" x14ac:dyDescent="0.25">
      <c r="A119" s="65"/>
      <c r="B119" s="64"/>
      <c r="C119" s="64"/>
      <c r="D119" s="64"/>
      <c r="E119" s="64"/>
      <c r="F119" s="66"/>
      <c r="G119" s="67"/>
      <c r="H119" s="69" t="str">
        <f t="shared" si="2"/>
        <v/>
      </c>
      <c r="I119" s="70" t="str">
        <f t="shared" si="3"/>
        <v/>
      </c>
      <c r="J119" s="64"/>
      <c r="K119" s="64"/>
    </row>
    <row r="120" spans="1:11" x14ac:dyDescent="0.25">
      <c r="A120" s="65"/>
      <c r="B120" s="64"/>
      <c r="C120" s="64"/>
      <c r="D120" s="64"/>
      <c r="E120" s="64"/>
      <c r="F120" s="66"/>
      <c r="G120" s="67"/>
      <c r="H120" s="69" t="str">
        <f t="shared" si="2"/>
        <v/>
      </c>
      <c r="I120" s="70" t="str">
        <f t="shared" si="3"/>
        <v/>
      </c>
      <c r="J120" s="64"/>
      <c r="K120" s="64"/>
    </row>
    <row r="121" spans="1:11" x14ac:dyDescent="0.25">
      <c r="A121" s="65"/>
      <c r="B121" s="64"/>
      <c r="C121" s="64"/>
      <c r="D121" s="64"/>
      <c r="E121" s="64"/>
      <c r="F121" s="66"/>
      <c r="G121" s="67"/>
      <c r="H121" s="69" t="str">
        <f t="shared" si="2"/>
        <v/>
      </c>
      <c r="I121" s="70" t="str">
        <f t="shared" si="3"/>
        <v/>
      </c>
      <c r="J121" s="64"/>
      <c r="K121" s="64"/>
    </row>
    <row r="122" spans="1:11" x14ac:dyDescent="0.25">
      <c r="A122" s="65"/>
      <c r="B122" s="64"/>
      <c r="C122" s="64"/>
      <c r="D122" s="64"/>
      <c r="E122" s="64"/>
      <c r="F122" s="66"/>
      <c r="G122" s="67"/>
      <c r="H122" s="69" t="str">
        <f t="shared" si="2"/>
        <v/>
      </c>
      <c r="I122" s="70" t="str">
        <f t="shared" si="3"/>
        <v/>
      </c>
      <c r="J122" s="64"/>
      <c r="K122" s="64"/>
    </row>
    <row r="123" spans="1:11" x14ac:dyDescent="0.25">
      <c r="A123" s="65"/>
      <c r="B123" s="64"/>
      <c r="C123" s="64"/>
      <c r="D123" s="64"/>
      <c r="E123" s="64"/>
      <c r="F123" s="66"/>
      <c r="G123" s="67"/>
      <c r="H123" s="69" t="str">
        <f t="shared" si="2"/>
        <v/>
      </c>
      <c r="I123" s="70" t="str">
        <f t="shared" si="3"/>
        <v/>
      </c>
      <c r="J123" s="64"/>
      <c r="K123" s="64"/>
    </row>
    <row r="124" spans="1:11" x14ac:dyDescent="0.25">
      <c r="A124" s="65"/>
      <c r="B124" s="64"/>
      <c r="C124" s="64"/>
      <c r="D124" s="64"/>
      <c r="E124" s="64"/>
      <c r="F124" s="66"/>
      <c r="G124" s="67"/>
      <c r="H124" s="69" t="str">
        <f t="shared" si="2"/>
        <v/>
      </c>
      <c r="I124" s="70" t="str">
        <f t="shared" si="3"/>
        <v/>
      </c>
      <c r="J124" s="64"/>
      <c r="K124" s="64"/>
    </row>
    <row r="125" spans="1:11" x14ac:dyDescent="0.25">
      <c r="A125" s="65"/>
      <c r="B125" s="64"/>
      <c r="C125" s="64"/>
      <c r="D125" s="64"/>
      <c r="E125" s="64"/>
      <c r="F125" s="66"/>
      <c r="G125" s="67"/>
      <c r="H125" s="69" t="str">
        <f t="shared" si="2"/>
        <v/>
      </c>
      <c r="I125" s="70" t="str">
        <f t="shared" si="3"/>
        <v/>
      </c>
      <c r="J125" s="64"/>
      <c r="K125" s="64"/>
    </row>
    <row r="126" spans="1:11" x14ac:dyDescent="0.25">
      <c r="A126" s="65"/>
      <c r="B126" s="64"/>
      <c r="C126" s="64"/>
      <c r="D126" s="64"/>
      <c r="E126" s="64"/>
      <c r="F126" s="66"/>
      <c r="G126" s="67"/>
      <c r="H126" s="69" t="str">
        <f t="shared" si="2"/>
        <v/>
      </c>
      <c r="I126" s="70" t="str">
        <f t="shared" si="3"/>
        <v/>
      </c>
      <c r="J126" s="64"/>
      <c r="K126" s="64"/>
    </row>
    <row r="127" spans="1:11" x14ac:dyDescent="0.25">
      <c r="A127" s="65"/>
      <c r="B127" s="64"/>
      <c r="C127" s="64"/>
      <c r="D127" s="64"/>
      <c r="E127" s="64"/>
      <c r="F127" s="66"/>
      <c r="G127" s="67"/>
      <c r="H127" s="69" t="str">
        <f t="shared" si="2"/>
        <v/>
      </c>
      <c r="I127" s="70" t="str">
        <f t="shared" si="3"/>
        <v/>
      </c>
      <c r="J127" s="64"/>
      <c r="K127" s="64"/>
    </row>
    <row r="128" spans="1:11" x14ac:dyDescent="0.25">
      <c r="A128" s="65"/>
      <c r="B128" s="64"/>
      <c r="C128" s="64"/>
      <c r="D128" s="64"/>
      <c r="E128" s="64"/>
      <c r="F128" s="66"/>
      <c r="G128" s="67"/>
      <c r="H128" s="69" t="str">
        <f t="shared" si="2"/>
        <v/>
      </c>
      <c r="I128" s="70" t="str">
        <f t="shared" si="3"/>
        <v/>
      </c>
      <c r="J128" s="64"/>
      <c r="K128" s="64"/>
    </row>
    <row r="129" spans="1:11" x14ac:dyDescent="0.25">
      <c r="A129" s="65"/>
      <c r="B129" s="64"/>
      <c r="C129" s="64"/>
      <c r="D129" s="64"/>
      <c r="E129" s="64"/>
      <c r="F129" s="66"/>
      <c r="G129" s="67"/>
      <c r="H129" s="69" t="str">
        <f t="shared" si="2"/>
        <v/>
      </c>
      <c r="I129" s="70" t="str">
        <f t="shared" si="3"/>
        <v/>
      </c>
      <c r="J129" s="64"/>
      <c r="K129" s="64"/>
    </row>
    <row r="130" spans="1:11" x14ac:dyDescent="0.25">
      <c r="A130" s="65"/>
      <c r="B130" s="64"/>
      <c r="C130" s="64"/>
      <c r="D130" s="64"/>
      <c r="E130" s="64"/>
      <c r="F130" s="66"/>
      <c r="G130" s="67"/>
      <c r="H130" s="69" t="str">
        <f t="shared" si="2"/>
        <v/>
      </c>
      <c r="I130" s="70" t="str">
        <f t="shared" si="3"/>
        <v/>
      </c>
      <c r="J130" s="64"/>
      <c r="K130" s="64"/>
    </row>
    <row r="131" spans="1:11" x14ac:dyDescent="0.25">
      <c r="A131" s="65"/>
      <c r="B131" s="64"/>
      <c r="C131" s="64"/>
      <c r="D131" s="64"/>
      <c r="E131" s="64"/>
      <c r="F131" s="66"/>
      <c r="G131" s="67"/>
      <c r="H131" s="69" t="str">
        <f t="shared" ref="H131:H194" si="4">IFERROR(IF(F131="","",F131*G131),"")</f>
        <v/>
      </c>
      <c r="I131" s="70" t="str">
        <f t="shared" ref="I131:I194" si="5">IFERROR(IF(F131="","",F131+H131),"")</f>
        <v/>
      </c>
      <c r="J131" s="64"/>
      <c r="K131" s="64"/>
    </row>
    <row r="132" spans="1:11" x14ac:dyDescent="0.25">
      <c r="A132" s="65"/>
      <c r="B132" s="64"/>
      <c r="C132" s="64"/>
      <c r="D132" s="64"/>
      <c r="E132" s="64"/>
      <c r="F132" s="66"/>
      <c r="G132" s="67"/>
      <c r="H132" s="69" t="str">
        <f t="shared" si="4"/>
        <v/>
      </c>
      <c r="I132" s="70" t="str">
        <f t="shared" si="5"/>
        <v/>
      </c>
      <c r="J132" s="64"/>
      <c r="K132" s="64"/>
    </row>
    <row r="133" spans="1:11" x14ac:dyDescent="0.25">
      <c r="A133" s="65"/>
      <c r="B133" s="64"/>
      <c r="C133" s="64"/>
      <c r="D133" s="64"/>
      <c r="E133" s="64"/>
      <c r="F133" s="66"/>
      <c r="G133" s="67"/>
      <c r="H133" s="69" t="str">
        <f t="shared" si="4"/>
        <v/>
      </c>
      <c r="I133" s="70" t="str">
        <f t="shared" si="5"/>
        <v/>
      </c>
      <c r="J133" s="64"/>
      <c r="K133" s="64"/>
    </row>
    <row r="134" spans="1:11" x14ac:dyDescent="0.25">
      <c r="A134" s="65"/>
      <c r="B134" s="64"/>
      <c r="C134" s="64"/>
      <c r="D134" s="64"/>
      <c r="E134" s="64"/>
      <c r="F134" s="66"/>
      <c r="G134" s="67"/>
      <c r="H134" s="69" t="str">
        <f t="shared" si="4"/>
        <v/>
      </c>
      <c r="I134" s="70" t="str">
        <f t="shared" si="5"/>
        <v/>
      </c>
      <c r="J134" s="64"/>
      <c r="K134" s="64"/>
    </row>
    <row r="135" spans="1:11" x14ac:dyDescent="0.25">
      <c r="A135" s="65"/>
      <c r="B135" s="64"/>
      <c r="C135" s="64"/>
      <c r="D135" s="64"/>
      <c r="E135" s="64"/>
      <c r="F135" s="66"/>
      <c r="G135" s="67"/>
      <c r="H135" s="69" t="str">
        <f t="shared" si="4"/>
        <v/>
      </c>
      <c r="I135" s="70" t="str">
        <f t="shared" si="5"/>
        <v/>
      </c>
      <c r="J135" s="64"/>
      <c r="K135" s="64"/>
    </row>
    <row r="136" spans="1:11" x14ac:dyDescent="0.25">
      <c r="A136" s="65"/>
      <c r="B136" s="64"/>
      <c r="C136" s="64"/>
      <c r="D136" s="64"/>
      <c r="E136" s="64"/>
      <c r="F136" s="66"/>
      <c r="G136" s="67"/>
      <c r="H136" s="69" t="str">
        <f t="shared" si="4"/>
        <v/>
      </c>
      <c r="I136" s="70" t="str">
        <f t="shared" si="5"/>
        <v/>
      </c>
      <c r="J136" s="64"/>
      <c r="K136" s="64"/>
    </row>
    <row r="137" spans="1:11" x14ac:dyDescent="0.25">
      <c r="A137" s="65"/>
      <c r="B137" s="64"/>
      <c r="C137" s="64"/>
      <c r="D137" s="64"/>
      <c r="E137" s="64"/>
      <c r="F137" s="66"/>
      <c r="G137" s="67"/>
      <c r="H137" s="69" t="str">
        <f t="shared" si="4"/>
        <v/>
      </c>
      <c r="I137" s="70" t="str">
        <f t="shared" si="5"/>
        <v/>
      </c>
      <c r="J137" s="64"/>
      <c r="K137" s="64"/>
    </row>
    <row r="138" spans="1:11" x14ac:dyDescent="0.25">
      <c r="A138" s="65"/>
      <c r="B138" s="64"/>
      <c r="C138" s="64"/>
      <c r="D138" s="64"/>
      <c r="E138" s="64"/>
      <c r="F138" s="66"/>
      <c r="G138" s="67"/>
      <c r="H138" s="69" t="str">
        <f t="shared" si="4"/>
        <v/>
      </c>
      <c r="I138" s="70" t="str">
        <f t="shared" si="5"/>
        <v/>
      </c>
      <c r="J138" s="64"/>
      <c r="K138" s="64"/>
    </row>
    <row r="139" spans="1:11" x14ac:dyDescent="0.25">
      <c r="A139" s="65"/>
      <c r="B139" s="64"/>
      <c r="C139" s="64"/>
      <c r="D139" s="64"/>
      <c r="E139" s="64"/>
      <c r="F139" s="66"/>
      <c r="G139" s="67"/>
      <c r="H139" s="69" t="str">
        <f t="shared" si="4"/>
        <v/>
      </c>
      <c r="I139" s="70" t="str">
        <f t="shared" si="5"/>
        <v/>
      </c>
      <c r="J139" s="64"/>
      <c r="K139" s="64"/>
    </row>
    <row r="140" spans="1:11" x14ac:dyDescent="0.25">
      <c r="A140" s="65"/>
      <c r="B140" s="64"/>
      <c r="C140" s="64"/>
      <c r="D140" s="64"/>
      <c r="E140" s="64"/>
      <c r="F140" s="66"/>
      <c r="G140" s="67"/>
      <c r="H140" s="69" t="str">
        <f t="shared" si="4"/>
        <v/>
      </c>
      <c r="I140" s="70" t="str">
        <f t="shared" si="5"/>
        <v/>
      </c>
      <c r="J140" s="64"/>
      <c r="K140" s="64"/>
    </row>
    <row r="141" spans="1:11" x14ac:dyDescent="0.25">
      <c r="A141" s="65"/>
      <c r="B141" s="64"/>
      <c r="C141" s="64"/>
      <c r="D141" s="64"/>
      <c r="E141" s="64"/>
      <c r="F141" s="66"/>
      <c r="G141" s="67"/>
      <c r="H141" s="69" t="str">
        <f t="shared" si="4"/>
        <v/>
      </c>
      <c r="I141" s="70" t="str">
        <f t="shared" si="5"/>
        <v/>
      </c>
      <c r="J141" s="64"/>
      <c r="K141" s="64"/>
    </row>
    <row r="142" spans="1:11" x14ac:dyDescent="0.25">
      <c r="A142" s="65"/>
      <c r="B142" s="64"/>
      <c r="C142" s="64"/>
      <c r="D142" s="64"/>
      <c r="E142" s="64"/>
      <c r="F142" s="66"/>
      <c r="G142" s="67"/>
      <c r="H142" s="69" t="str">
        <f t="shared" si="4"/>
        <v/>
      </c>
      <c r="I142" s="70" t="str">
        <f t="shared" si="5"/>
        <v/>
      </c>
      <c r="J142" s="64"/>
      <c r="K142" s="64"/>
    </row>
    <row r="143" spans="1:11" x14ac:dyDescent="0.25">
      <c r="A143" s="65"/>
      <c r="B143" s="64"/>
      <c r="C143" s="64"/>
      <c r="D143" s="64"/>
      <c r="E143" s="64"/>
      <c r="F143" s="66"/>
      <c r="G143" s="67"/>
      <c r="H143" s="69" t="str">
        <f t="shared" si="4"/>
        <v/>
      </c>
      <c r="I143" s="70" t="str">
        <f t="shared" si="5"/>
        <v/>
      </c>
      <c r="J143" s="64"/>
      <c r="K143" s="64"/>
    </row>
    <row r="144" spans="1:11" x14ac:dyDescent="0.25">
      <c r="A144" s="65"/>
      <c r="B144" s="64"/>
      <c r="C144" s="64"/>
      <c r="D144" s="64"/>
      <c r="E144" s="64"/>
      <c r="F144" s="66"/>
      <c r="G144" s="67"/>
      <c r="H144" s="69" t="str">
        <f t="shared" si="4"/>
        <v/>
      </c>
      <c r="I144" s="70" t="str">
        <f t="shared" si="5"/>
        <v/>
      </c>
      <c r="J144" s="64"/>
      <c r="K144" s="64"/>
    </row>
    <row r="145" spans="1:11" x14ac:dyDescent="0.25">
      <c r="A145" s="65"/>
      <c r="B145" s="64"/>
      <c r="C145" s="64"/>
      <c r="D145" s="64"/>
      <c r="E145" s="64"/>
      <c r="F145" s="66"/>
      <c r="G145" s="67"/>
      <c r="H145" s="69" t="str">
        <f t="shared" si="4"/>
        <v/>
      </c>
      <c r="I145" s="70" t="str">
        <f t="shared" si="5"/>
        <v/>
      </c>
      <c r="J145" s="64"/>
      <c r="K145" s="64"/>
    </row>
    <row r="146" spans="1:11" x14ac:dyDescent="0.25">
      <c r="A146" s="65"/>
      <c r="B146" s="64"/>
      <c r="C146" s="64"/>
      <c r="D146" s="64"/>
      <c r="E146" s="64"/>
      <c r="F146" s="66"/>
      <c r="G146" s="67"/>
      <c r="H146" s="69" t="str">
        <f t="shared" si="4"/>
        <v/>
      </c>
      <c r="I146" s="70" t="str">
        <f t="shared" si="5"/>
        <v/>
      </c>
      <c r="J146" s="64"/>
      <c r="K146" s="64"/>
    </row>
    <row r="147" spans="1:11" x14ac:dyDescent="0.25">
      <c r="A147" s="65"/>
      <c r="B147" s="64"/>
      <c r="C147" s="64"/>
      <c r="D147" s="64"/>
      <c r="E147" s="64"/>
      <c r="F147" s="66"/>
      <c r="G147" s="67"/>
      <c r="H147" s="69" t="str">
        <f t="shared" si="4"/>
        <v/>
      </c>
      <c r="I147" s="70" t="str">
        <f t="shared" si="5"/>
        <v/>
      </c>
      <c r="J147" s="64"/>
      <c r="K147" s="64"/>
    </row>
    <row r="148" spans="1:11" x14ac:dyDescent="0.25">
      <c r="A148" s="65"/>
      <c r="B148" s="64"/>
      <c r="C148" s="64"/>
      <c r="D148" s="64"/>
      <c r="E148" s="64"/>
      <c r="F148" s="66"/>
      <c r="G148" s="67"/>
      <c r="H148" s="69" t="str">
        <f t="shared" si="4"/>
        <v/>
      </c>
      <c r="I148" s="70" t="str">
        <f t="shared" si="5"/>
        <v/>
      </c>
      <c r="J148" s="64"/>
      <c r="K148" s="64"/>
    </row>
    <row r="149" spans="1:11" x14ac:dyDescent="0.25">
      <c r="A149" s="65"/>
      <c r="B149" s="64"/>
      <c r="C149" s="64"/>
      <c r="D149" s="64"/>
      <c r="E149" s="64"/>
      <c r="F149" s="66"/>
      <c r="G149" s="67"/>
      <c r="H149" s="69" t="str">
        <f t="shared" si="4"/>
        <v/>
      </c>
      <c r="I149" s="70" t="str">
        <f t="shared" si="5"/>
        <v/>
      </c>
      <c r="J149" s="64"/>
      <c r="K149" s="64"/>
    </row>
    <row r="150" spans="1:11" x14ac:dyDescent="0.25">
      <c r="A150" s="65"/>
      <c r="B150" s="64"/>
      <c r="C150" s="64"/>
      <c r="D150" s="64"/>
      <c r="E150" s="64"/>
      <c r="F150" s="66"/>
      <c r="G150" s="67"/>
      <c r="H150" s="69" t="str">
        <f t="shared" si="4"/>
        <v/>
      </c>
      <c r="I150" s="70" t="str">
        <f t="shared" si="5"/>
        <v/>
      </c>
      <c r="J150" s="64"/>
      <c r="K150" s="64"/>
    </row>
    <row r="151" spans="1:11" x14ac:dyDescent="0.25">
      <c r="A151" s="65"/>
      <c r="B151" s="64"/>
      <c r="C151" s="64"/>
      <c r="D151" s="64"/>
      <c r="E151" s="64"/>
      <c r="F151" s="66"/>
      <c r="G151" s="67"/>
      <c r="H151" s="69" t="str">
        <f t="shared" si="4"/>
        <v/>
      </c>
      <c r="I151" s="70" t="str">
        <f t="shared" si="5"/>
        <v/>
      </c>
      <c r="J151" s="64"/>
      <c r="K151" s="64"/>
    </row>
    <row r="152" spans="1:11" x14ac:dyDescent="0.25">
      <c r="A152" s="65"/>
      <c r="B152" s="64"/>
      <c r="C152" s="64"/>
      <c r="D152" s="64"/>
      <c r="E152" s="64"/>
      <c r="F152" s="66"/>
      <c r="G152" s="67"/>
      <c r="H152" s="69" t="str">
        <f t="shared" si="4"/>
        <v/>
      </c>
      <c r="I152" s="70" t="str">
        <f t="shared" si="5"/>
        <v/>
      </c>
      <c r="J152" s="64"/>
      <c r="K152" s="64"/>
    </row>
    <row r="153" spans="1:11" x14ac:dyDescent="0.25">
      <c r="A153" s="65"/>
      <c r="B153" s="64"/>
      <c r="C153" s="64"/>
      <c r="D153" s="64"/>
      <c r="E153" s="64"/>
      <c r="F153" s="66"/>
      <c r="G153" s="67"/>
      <c r="H153" s="69" t="str">
        <f t="shared" si="4"/>
        <v/>
      </c>
      <c r="I153" s="70" t="str">
        <f t="shared" si="5"/>
        <v/>
      </c>
      <c r="J153" s="64"/>
      <c r="K153" s="64"/>
    </row>
    <row r="154" spans="1:11" x14ac:dyDescent="0.25">
      <c r="A154" s="65"/>
      <c r="B154" s="64"/>
      <c r="C154" s="64"/>
      <c r="D154" s="64"/>
      <c r="E154" s="64"/>
      <c r="F154" s="66"/>
      <c r="G154" s="67"/>
      <c r="H154" s="69" t="str">
        <f t="shared" si="4"/>
        <v/>
      </c>
      <c r="I154" s="70" t="str">
        <f t="shared" si="5"/>
        <v/>
      </c>
      <c r="J154" s="64"/>
      <c r="K154" s="64"/>
    </row>
    <row r="155" spans="1:11" x14ac:dyDescent="0.25">
      <c r="A155" s="65"/>
      <c r="B155" s="64"/>
      <c r="C155" s="64"/>
      <c r="D155" s="64"/>
      <c r="E155" s="64"/>
      <c r="F155" s="66"/>
      <c r="G155" s="67"/>
      <c r="H155" s="69" t="str">
        <f t="shared" si="4"/>
        <v/>
      </c>
      <c r="I155" s="70" t="str">
        <f t="shared" si="5"/>
        <v/>
      </c>
      <c r="J155" s="64"/>
      <c r="K155" s="64"/>
    </row>
    <row r="156" spans="1:11" x14ac:dyDescent="0.25">
      <c r="A156" s="65"/>
      <c r="B156" s="64"/>
      <c r="C156" s="64"/>
      <c r="D156" s="64"/>
      <c r="E156" s="64"/>
      <c r="F156" s="66"/>
      <c r="G156" s="67"/>
      <c r="H156" s="69" t="str">
        <f t="shared" si="4"/>
        <v/>
      </c>
      <c r="I156" s="70" t="str">
        <f t="shared" si="5"/>
        <v/>
      </c>
      <c r="J156" s="64"/>
      <c r="K156" s="64"/>
    </row>
    <row r="157" spans="1:11" x14ac:dyDescent="0.25">
      <c r="A157" s="65"/>
      <c r="B157" s="64"/>
      <c r="C157" s="64"/>
      <c r="D157" s="64"/>
      <c r="E157" s="64"/>
      <c r="F157" s="66"/>
      <c r="G157" s="67"/>
      <c r="H157" s="69" t="str">
        <f t="shared" si="4"/>
        <v/>
      </c>
      <c r="I157" s="70" t="str">
        <f t="shared" si="5"/>
        <v/>
      </c>
      <c r="J157" s="64"/>
      <c r="K157" s="64"/>
    </row>
    <row r="158" spans="1:11" x14ac:dyDescent="0.25">
      <c r="A158" s="65"/>
      <c r="B158" s="64"/>
      <c r="C158" s="64"/>
      <c r="D158" s="64"/>
      <c r="E158" s="64"/>
      <c r="F158" s="66"/>
      <c r="G158" s="67"/>
      <c r="H158" s="69" t="str">
        <f t="shared" si="4"/>
        <v/>
      </c>
      <c r="I158" s="70" t="str">
        <f t="shared" si="5"/>
        <v/>
      </c>
      <c r="J158" s="64"/>
      <c r="K158" s="64"/>
    </row>
    <row r="159" spans="1:11" x14ac:dyDescent="0.25">
      <c r="A159" s="65"/>
      <c r="B159" s="64"/>
      <c r="C159" s="64"/>
      <c r="D159" s="64"/>
      <c r="E159" s="64"/>
      <c r="F159" s="66"/>
      <c r="G159" s="67"/>
      <c r="H159" s="69" t="str">
        <f t="shared" si="4"/>
        <v/>
      </c>
      <c r="I159" s="70" t="str">
        <f t="shared" si="5"/>
        <v/>
      </c>
      <c r="J159" s="64"/>
      <c r="K159" s="64"/>
    </row>
    <row r="160" spans="1:11" x14ac:dyDescent="0.25">
      <c r="A160" s="65"/>
      <c r="B160" s="64"/>
      <c r="C160" s="64"/>
      <c r="D160" s="64"/>
      <c r="E160" s="64"/>
      <c r="F160" s="66"/>
      <c r="G160" s="67"/>
      <c r="H160" s="69" t="str">
        <f t="shared" si="4"/>
        <v/>
      </c>
      <c r="I160" s="70" t="str">
        <f t="shared" si="5"/>
        <v/>
      </c>
      <c r="J160" s="64"/>
      <c r="K160" s="64"/>
    </row>
    <row r="161" spans="1:11" x14ac:dyDescent="0.25">
      <c r="A161" s="65"/>
      <c r="B161" s="64"/>
      <c r="C161" s="64"/>
      <c r="D161" s="64"/>
      <c r="E161" s="64"/>
      <c r="F161" s="66"/>
      <c r="G161" s="67"/>
      <c r="H161" s="69" t="str">
        <f t="shared" si="4"/>
        <v/>
      </c>
      <c r="I161" s="70" t="str">
        <f t="shared" si="5"/>
        <v/>
      </c>
      <c r="J161" s="64"/>
      <c r="K161" s="64"/>
    </row>
    <row r="162" spans="1:11" x14ac:dyDescent="0.25">
      <c r="A162" s="65"/>
      <c r="B162" s="64"/>
      <c r="C162" s="64"/>
      <c r="D162" s="64"/>
      <c r="E162" s="64"/>
      <c r="F162" s="66"/>
      <c r="G162" s="67"/>
      <c r="H162" s="69" t="str">
        <f t="shared" si="4"/>
        <v/>
      </c>
      <c r="I162" s="70" t="str">
        <f t="shared" si="5"/>
        <v/>
      </c>
      <c r="J162" s="64"/>
      <c r="K162" s="64"/>
    </row>
    <row r="163" spans="1:11" x14ac:dyDescent="0.25">
      <c r="A163" s="65"/>
      <c r="B163" s="64"/>
      <c r="C163" s="64"/>
      <c r="D163" s="64"/>
      <c r="E163" s="64"/>
      <c r="F163" s="66"/>
      <c r="G163" s="67"/>
      <c r="H163" s="69" t="str">
        <f t="shared" si="4"/>
        <v/>
      </c>
      <c r="I163" s="70" t="str">
        <f t="shared" si="5"/>
        <v/>
      </c>
      <c r="J163" s="64"/>
      <c r="K163" s="64"/>
    </row>
    <row r="164" spans="1:11" x14ac:dyDescent="0.25">
      <c r="A164" s="65"/>
      <c r="B164" s="64"/>
      <c r="C164" s="64"/>
      <c r="D164" s="64"/>
      <c r="E164" s="64"/>
      <c r="F164" s="66"/>
      <c r="G164" s="67"/>
      <c r="H164" s="69" t="str">
        <f t="shared" si="4"/>
        <v/>
      </c>
      <c r="I164" s="70" t="str">
        <f t="shared" si="5"/>
        <v/>
      </c>
      <c r="J164" s="64"/>
      <c r="K164" s="64"/>
    </row>
    <row r="165" spans="1:11" x14ac:dyDescent="0.25">
      <c r="A165" s="65"/>
      <c r="B165" s="64"/>
      <c r="C165" s="64"/>
      <c r="D165" s="64"/>
      <c r="E165" s="64"/>
      <c r="F165" s="66"/>
      <c r="G165" s="67"/>
      <c r="H165" s="69" t="str">
        <f t="shared" si="4"/>
        <v/>
      </c>
      <c r="I165" s="70" t="str">
        <f t="shared" si="5"/>
        <v/>
      </c>
      <c r="J165" s="64"/>
      <c r="K165" s="64"/>
    </row>
    <row r="166" spans="1:11" x14ac:dyDescent="0.25">
      <c r="A166" s="65"/>
      <c r="B166" s="64"/>
      <c r="C166" s="64"/>
      <c r="D166" s="64"/>
      <c r="E166" s="64"/>
      <c r="F166" s="66"/>
      <c r="G166" s="67"/>
      <c r="H166" s="69" t="str">
        <f t="shared" si="4"/>
        <v/>
      </c>
      <c r="I166" s="70" t="str">
        <f t="shared" si="5"/>
        <v/>
      </c>
      <c r="J166" s="64"/>
      <c r="K166" s="64"/>
    </row>
    <row r="167" spans="1:11" x14ac:dyDescent="0.25">
      <c r="A167" s="65"/>
      <c r="B167" s="64"/>
      <c r="C167" s="64"/>
      <c r="D167" s="64"/>
      <c r="E167" s="64"/>
      <c r="F167" s="66"/>
      <c r="G167" s="67"/>
      <c r="H167" s="69" t="str">
        <f t="shared" si="4"/>
        <v/>
      </c>
      <c r="I167" s="70" t="str">
        <f t="shared" si="5"/>
        <v/>
      </c>
      <c r="J167" s="64"/>
      <c r="K167" s="64"/>
    </row>
    <row r="168" spans="1:11" x14ac:dyDescent="0.25">
      <c r="A168" s="65"/>
      <c r="B168" s="64"/>
      <c r="C168" s="64"/>
      <c r="D168" s="64"/>
      <c r="E168" s="64"/>
      <c r="F168" s="66"/>
      <c r="G168" s="67"/>
      <c r="H168" s="69" t="str">
        <f t="shared" si="4"/>
        <v/>
      </c>
      <c r="I168" s="70" t="str">
        <f t="shared" si="5"/>
        <v/>
      </c>
      <c r="J168" s="64"/>
      <c r="K168" s="64"/>
    </row>
    <row r="169" spans="1:11" x14ac:dyDescent="0.25">
      <c r="A169" s="65"/>
      <c r="B169" s="64"/>
      <c r="C169" s="64"/>
      <c r="D169" s="64"/>
      <c r="E169" s="64"/>
      <c r="F169" s="66"/>
      <c r="G169" s="67"/>
      <c r="H169" s="69" t="str">
        <f t="shared" si="4"/>
        <v/>
      </c>
      <c r="I169" s="70" t="str">
        <f t="shared" si="5"/>
        <v/>
      </c>
      <c r="J169" s="64"/>
      <c r="K169" s="64"/>
    </row>
    <row r="170" spans="1:11" x14ac:dyDescent="0.25">
      <c r="A170" s="65"/>
      <c r="B170" s="64"/>
      <c r="C170" s="64"/>
      <c r="D170" s="64"/>
      <c r="E170" s="64"/>
      <c r="F170" s="66"/>
      <c r="G170" s="67"/>
      <c r="H170" s="69" t="str">
        <f t="shared" si="4"/>
        <v/>
      </c>
      <c r="I170" s="70" t="str">
        <f t="shared" si="5"/>
        <v/>
      </c>
      <c r="J170" s="64"/>
      <c r="K170" s="64"/>
    </row>
    <row r="171" spans="1:11" x14ac:dyDescent="0.25">
      <c r="A171" s="65"/>
      <c r="B171" s="64"/>
      <c r="C171" s="64"/>
      <c r="D171" s="64"/>
      <c r="E171" s="64"/>
      <c r="F171" s="66"/>
      <c r="G171" s="67"/>
      <c r="H171" s="69" t="str">
        <f t="shared" si="4"/>
        <v/>
      </c>
      <c r="I171" s="70" t="str">
        <f t="shared" si="5"/>
        <v/>
      </c>
      <c r="J171" s="64"/>
      <c r="K171" s="64"/>
    </row>
    <row r="172" spans="1:11" x14ac:dyDescent="0.25">
      <c r="A172" s="65"/>
      <c r="B172" s="64"/>
      <c r="C172" s="64"/>
      <c r="D172" s="64"/>
      <c r="E172" s="64"/>
      <c r="F172" s="66"/>
      <c r="G172" s="67"/>
      <c r="H172" s="69" t="str">
        <f t="shared" si="4"/>
        <v/>
      </c>
      <c r="I172" s="70" t="str">
        <f t="shared" si="5"/>
        <v/>
      </c>
      <c r="J172" s="64"/>
      <c r="K172" s="64"/>
    </row>
    <row r="173" spans="1:11" x14ac:dyDescent="0.25">
      <c r="A173" s="65"/>
      <c r="B173" s="64"/>
      <c r="C173" s="64"/>
      <c r="D173" s="64"/>
      <c r="E173" s="64"/>
      <c r="F173" s="66"/>
      <c r="G173" s="67"/>
      <c r="H173" s="69" t="str">
        <f t="shared" si="4"/>
        <v/>
      </c>
      <c r="I173" s="70" t="str">
        <f t="shared" si="5"/>
        <v/>
      </c>
      <c r="J173" s="64"/>
      <c r="K173" s="64"/>
    </row>
    <row r="174" spans="1:11" x14ac:dyDescent="0.25">
      <c r="A174" s="65"/>
      <c r="B174" s="64"/>
      <c r="C174" s="64"/>
      <c r="D174" s="64"/>
      <c r="E174" s="64"/>
      <c r="F174" s="66"/>
      <c r="G174" s="67"/>
      <c r="H174" s="69" t="str">
        <f t="shared" si="4"/>
        <v/>
      </c>
      <c r="I174" s="70" t="str">
        <f t="shared" si="5"/>
        <v/>
      </c>
      <c r="J174" s="64"/>
      <c r="K174" s="64"/>
    </row>
    <row r="175" spans="1:11" x14ac:dyDescent="0.25">
      <c r="A175" s="65"/>
      <c r="B175" s="64"/>
      <c r="C175" s="64"/>
      <c r="D175" s="64"/>
      <c r="E175" s="64"/>
      <c r="F175" s="66"/>
      <c r="G175" s="67"/>
      <c r="H175" s="69" t="str">
        <f t="shared" si="4"/>
        <v/>
      </c>
      <c r="I175" s="70" t="str">
        <f t="shared" si="5"/>
        <v/>
      </c>
      <c r="J175" s="64"/>
      <c r="K175" s="64"/>
    </row>
    <row r="176" spans="1:11" x14ac:dyDescent="0.25">
      <c r="A176" s="65"/>
      <c r="B176" s="64"/>
      <c r="C176" s="64"/>
      <c r="D176" s="64"/>
      <c r="E176" s="64"/>
      <c r="F176" s="66"/>
      <c r="G176" s="67"/>
      <c r="H176" s="69" t="str">
        <f t="shared" si="4"/>
        <v/>
      </c>
      <c r="I176" s="70" t="str">
        <f t="shared" si="5"/>
        <v/>
      </c>
      <c r="J176" s="64"/>
      <c r="K176" s="64"/>
    </row>
    <row r="177" spans="1:11" x14ac:dyDescent="0.25">
      <c r="A177" s="65"/>
      <c r="B177" s="64"/>
      <c r="C177" s="64"/>
      <c r="D177" s="64"/>
      <c r="E177" s="64"/>
      <c r="F177" s="66"/>
      <c r="G177" s="67"/>
      <c r="H177" s="69" t="str">
        <f t="shared" si="4"/>
        <v/>
      </c>
      <c r="I177" s="70" t="str">
        <f t="shared" si="5"/>
        <v/>
      </c>
      <c r="J177" s="64"/>
      <c r="K177" s="64"/>
    </row>
    <row r="178" spans="1:11" x14ac:dyDescent="0.25">
      <c r="A178" s="65"/>
      <c r="B178" s="64"/>
      <c r="C178" s="64"/>
      <c r="D178" s="64"/>
      <c r="E178" s="64"/>
      <c r="F178" s="66"/>
      <c r="G178" s="67"/>
      <c r="H178" s="69" t="str">
        <f t="shared" si="4"/>
        <v/>
      </c>
      <c r="I178" s="70" t="str">
        <f t="shared" si="5"/>
        <v/>
      </c>
      <c r="J178" s="64"/>
      <c r="K178" s="64"/>
    </row>
    <row r="179" spans="1:11" x14ac:dyDescent="0.25">
      <c r="A179" s="65"/>
      <c r="B179" s="64"/>
      <c r="C179" s="64"/>
      <c r="D179" s="64"/>
      <c r="E179" s="64"/>
      <c r="F179" s="66"/>
      <c r="G179" s="67"/>
      <c r="H179" s="69" t="str">
        <f t="shared" si="4"/>
        <v/>
      </c>
      <c r="I179" s="70" t="str">
        <f t="shared" si="5"/>
        <v/>
      </c>
      <c r="J179" s="64"/>
      <c r="K179" s="64"/>
    </row>
    <row r="180" spans="1:11" x14ac:dyDescent="0.25">
      <c r="A180" s="65"/>
      <c r="B180" s="64"/>
      <c r="C180" s="64"/>
      <c r="D180" s="64"/>
      <c r="E180" s="64"/>
      <c r="F180" s="66"/>
      <c r="G180" s="67"/>
      <c r="H180" s="69" t="str">
        <f t="shared" si="4"/>
        <v/>
      </c>
      <c r="I180" s="70" t="str">
        <f t="shared" si="5"/>
        <v/>
      </c>
      <c r="J180" s="64"/>
      <c r="K180" s="64"/>
    </row>
    <row r="181" spans="1:11" x14ac:dyDescent="0.25">
      <c r="A181" s="65"/>
      <c r="B181" s="64"/>
      <c r="C181" s="64"/>
      <c r="D181" s="64"/>
      <c r="E181" s="64"/>
      <c r="F181" s="66"/>
      <c r="G181" s="67"/>
      <c r="H181" s="69" t="str">
        <f t="shared" si="4"/>
        <v/>
      </c>
      <c r="I181" s="70" t="str">
        <f t="shared" si="5"/>
        <v/>
      </c>
      <c r="J181" s="64"/>
      <c r="K181" s="64"/>
    </row>
    <row r="182" spans="1:11" x14ac:dyDescent="0.25">
      <c r="A182" s="65"/>
      <c r="B182" s="64"/>
      <c r="C182" s="64"/>
      <c r="D182" s="64"/>
      <c r="E182" s="64"/>
      <c r="F182" s="66"/>
      <c r="G182" s="67"/>
      <c r="H182" s="69" t="str">
        <f t="shared" si="4"/>
        <v/>
      </c>
      <c r="I182" s="70" t="str">
        <f t="shared" si="5"/>
        <v/>
      </c>
      <c r="J182" s="64"/>
      <c r="K182" s="64"/>
    </row>
    <row r="183" spans="1:11" x14ac:dyDescent="0.25">
      <c r="A183" s="65"/>
      <c r="B183" s="64"/>
      <c r="C183" s="64"/>
      <c r="D183" s="64"/>
      <c r="E183" s="64"/>
      <c r="F183" s="66"/>
      <c r="G183" s="67"/>
      <c r="H183" s="69" t="str">
        <f t="shared" si="4"/>
        <v/>
      </c>
      <c r="I183" s="70" t="str">
        <f t="shared" si="5"/>
        <v/>
      </c>
      <c r="J183" s="64"/>
      <c r="K183" s="64"/>
    </row>
    <row r="184" spans="1:11" x14ac:dyDescent="0.25">
      <c r="A184" s="65"/>
      <c r="B184" s="64"/>
      <c r="C184" s="64"/>
      <c r="D184" s="64"/>
      <c r="E184" s="64"/>
      <c r="F184" s="66"/>
      <c r="G184" s="67"/>
      <c r="H184" s="69" t="str">
        <f t="shared" si="4"/>
        <v/>
      </c>
      <c r="I184" s="70" t="str">
        <f t="shared" si="5"/>
        <v/>
      </c>
      <c r="J184" s="64"/>
      <c r="K184" s="64"/>
    </row>
    <row r="185" spans="1:11" x14ac:dyDescent="0.25">
      <c r="A185" s="65"/>
      <c r="B185" s="64"/>
      <c r="C185" s="64"/>
      <c r="D185" s="64"/>
      <c r="E185" s="64"/>
      <c r="F185" s="66"/>
      <c r="G185" s="67"/>
      <c r="H185" s="69" t="str">
        <f t="shared" si="4"/>
        <v/>
      </c>
      <c r="I185" s="70" t="str">
        <f t="shared" si="5"/>
        <v/>
      </c>
      <c r="J185" s="64"/>
      <c r="K185" s="64"/>
    </row>
    <row r="186" spans="1:11" x14ac:dyDescent="0.25">
      <c r="A186" s="65"/>
      <c r="B186" s="64"/>
      <c r="C186" s="64"/>
      <c r="D186" s="64"/>
      <c r="E186" s="64"/>
      <c r="F186" s="66"/>
      <c r="G186" s="67"/>
      <c r="H186" s="69" t="str">
        <f t="shared" si="4"/>
        <v/>
      </c>
      <c r="I186" s="70" t="str">
        <f t="shared" si="5"/>
        <v/>
      </c>
      <c r="J186" s="64"/>
      <c r="K186" s="64"/>
    </row>
    <row r="187" spans="1:11" x14ac:dyDescent="0.25">
      <c r="A187" s="65"/>
      <c r="B187" s="64"/>
      <c r="C187" s="64"/>
      <c r="D187" s="64"/>
      <c r="E187" s="64"/>
      <c r="F187" s="66"/>
      <c r="G187" s="67"/>
      <c r="H187" s="69" t="str">
        <f t="shared" si="4"/>
        <v/>
      </c>
      <c r="I187" s="70" t="str">
        <f t="shared" si="5"/>
        <v/>
      </c>
      <c r="J187" s="64"/>
      <c r="K187" s="64"/>
    </row>
    <row r="188" spans="1:11" x14ac:dyDescent="0.25">
      <c r="A188" s="65"/>
      <c r="B188" s="64"/>
      <c r="C188" s="64"/>
      <c r="D188" s="64"/>
      <c r="E188" s="64"/>
      <c r="F188" s="66"/>
      <c r="G188" s="67"/>
      <c r="H188" s="69" t="str">
        <f t="shared" si="4"/>
        <v/>
      </c>
      <c r="I188" s="70" t="str">
        <f t="shared" si="5"/>
        <v/>
      </c>
      <c r="J188" s="64"/>
      <c r="K188" s="64"/>
    </row>
    <row r="189" spans="1:11" x14ac:dyDescent="0.25">
      <c r="A189" s="65"/>
      <c r="B189" s="64"/>
      <c r="C189" s="64"/>
      <c r="D189" s="64"/>
      <c r="E189" s="64"/>
      <c r="F189" s="66"/>
      <c r="G189" s="67"/>
      <c r="H189" s="69" t="str">
        <f t="shared" si="4"/>
        <v/>
      </c>
      <c r="I189" s="70" t="str">
        <f t="shared" si="5"/>
        <v/>
      </c>
      <c r="J189" s="64"/>
      <c r="K189" s="64"/>
    </row>
    <row r="190" spans="1:11" x14ac:dyDescent="0.25">
      <c r="A190" s="65"/>
      <c r="B190" s="64"/>
      <c r="C190" s="64"/>
      <c r="D190" s="64"/>
      <c r="E190" s="64"/>
      <c r="F190" s="66"/>
      <c r="G190" s="67"/>
      <c r="H190" s="69" t="str">
        <f t="shared" si="4"/>
        <v/>
      </c>
      <c r="I190" s="70" t="str">
        <f t="shared" si="5"/>
        <v/>
      </c>
      <c r="J190" s="64"/>
      <c r="K190" s="64"/>
    </row>
    <row r="191" spans="1:11" x14ac:dyDescent="0.25">
      <c r="A191" s="65"/>
      <c r="B191" s="64"/>
      <c r="C191" s="64"/>
      <c r="D191" s="64"/>
      <c r="E191" s="64"/>
      <c r="F191" s="66"/>
      <c r="G191" s="67"/>
      <c r="H191" s="69" t="str">
        <f t="shared" si="4"/>
        <v/>
      </c>
      <c r="I191" s="70" t="str">
        <f t="shared" si="5"/>
        <v/>
      </c>
      <c r="J191" s="64"/>
      <c r="K191" s="64"/>
    </row>
    <row r="192" spans="1:11" x14ac:dyDescent="0.25">
      <c r="A192" s="65"/>
      <c r="B192" s="64"/>
      <c r="C192" s="64"/>
      <c r="D192" s="64"/>
      <c r="E192" s="64"/>
      <c r="F192" s="66"/>
      <c r="G192" s="67"/>
      <c r="H192" s="69" t="str">
        <f t="shared" si="4"/>
        <v/>
      </c>
      <c r="I192" s="70" t="str">
        <f t="shared" si="5"/>
        <v/>
      </c>
      <c r="J192" s="64"/>
      <c r="K192" s="64"/>
    </row>
    <row r="193" spans="1:11" x14ac:dyDescent="0.25">
      <c r="A193" s="65"/>
      <c r="B193" s="64"/>
      <c r="C193" s="64"/>
      <c r="D193" s="64"/>
      <c r="E193" s="64"/>
      <c r="F193" s="66"/>
      <c r="G193" s="67"/>
      <c r="H193" s="69" t="str">
        <f t="shared" si="4"/>
        <v/>
      </c>
      <c r="I193" s="70" t="str">
        <f t="shared" si="5"/>
        <v/>
      </c>
      <c r="J193" s="64"/>
      <c r="K193" s="64"/>
    </row>
    <row r="194" spans="1:11" x14ac:dyDescent="0.25">
      <c r="A194" s="65"/>
      <c r="B194" s="64"/>
      <c r="C194" s="64"/>
      <c r="D194" s="64"/>
      <c r="E194" s="64"/>
      <c r="F194" s="66"/>
      <c r="G194" s="67"/>
      <c r="H194" s="69" t="str">
        <f t="shared" si="4"/>
        <v/>
      </c>
      <c r="I194" s="70" t="str">
        <f t="shared" si="5"/>
        <v/>
      </c>
      <c r="J194" s="64"/>
      <c r="K194" s="64"/>
    </row>
    <row r="195" spans="1:11" x14ac:dyDescent="0.25">
      <c r="A195" s="65"/>
      <c r="B195" s="64"/>
      <c r="C195" s="64"/>
      <c r="D195" s="64"/>
      <c r="E195" s="64"/>
      <c r="F195" s="66"/>
      <c r="G195" s="67"/>
      <c r="H195" s="69" t="str">
        <f t="shared" ref="H195:H258" si="6">IFERROR(IF(F195="","",F195*G195),"")</f>
        <v/>
      </c>
      <c r="I195" s="70" t="str">
        <f t="shared" ref="I195:I258" si="7">IFERROR(IF(F195="","",F195+H195),"")</f>
        <v/>
      </c>
      <c r="J195" s="64"/>
      <c r="K195" s="64"/>
    </row>
    <row r="196" spans="1:11" x14ac:dyDescent="0.25">
      <c r="A196" s="65"/>
      <c r="B196" s="64"/>
      <c r="C196" s="64"/>
      <c r="D196" s="64"/>
      <c r="E196" s="64"/>
      <c r="F196" s="66"/>
      <c r="G196" s="67"/>
      <c r="H196" s="69" t="str">
        <f t="shared" si="6"/>
        <v/>
      </c>
      <c r="I196" s="70" t="str">
        <f t="shared" si="7"/>
        <v/>
      </c>
      <c r="J196" s="64"/>
      <c r="K196" s="64"/>
    </row>
    <row r="197" spans="1:11" x14ac:dyDescent="0.25">
      <c r="A197" s="65"/>
      <c r="B197" s="64"/>
      <c r="C197" s="64"/>
      <c r="D197" s="64"/>
      <c r="E197" s="64"/>
      <c r="F197" s="66"/>
      <c r="G197" s="67"/>
      <c r="H197" s="69" t="str">
        <f t="shared" si="6"/>
        <v/>
      </c>
      <c r="I197" s="70" t="str">
        <f t="shared" si="7"/>
        <v/>
      </c>
      <c r="J197" s="64"/>
      <c r="K197" s="64"/>
    </row>
    <row r="198" spans="1:11" x14ac:dyDescent="0.25">
      <c r="A198" s="65"/>
      <c r="B198" s="64"/>
      <c r="C198" s="64"/>
      <c r="D198" s="64"/>
      <c r="E198" s="64"/>
      <c r="F198" s="66"/>
      <c r="G198" s="67"/>
      <c r="H198" s="69" t="str">
        <f t="shared" si="6"/>
        <v/>
      </c>
      <c r="I198" s="70" t="str">
        <f t="shared" si="7"/>
        <v/>
      </c>
      <c r="J198" s="64"/>
      <c r="K198" s="64"/>
    </row>
    <row r="199" spans="1:11" x14ac:dyDescent="0.25">
      <c r="A199" s="65"/>
      <c r="B199" s="64"/>
      <c r="C199" s="64"/>
      <c r="D199" s="64"/>
      <c r="E199" s="64"/>
      <c r="F199" s="66"/>
      <c r="G199" s="67"/>
      <c r="H199" s="69" t="str">
        <f t="shared" si="6"/>
        <v/>
      </c>
      <c r="I199" s="70" t="str">
        <f t="shared" si="7"/>
        <v/>
      </c>
      <c r="J199" s="64"/>
      <c r="K199" s="64"/>
    </row>
    <row r="200" spans="1:11" x14ac:dyDescent="0.25">
      <c r="A200" s="65"/>
      <c r="B200" s="64"/>
      <c r="C200" s="64"/>
      <c r="D200" s="64"/>
      <c r="E200" s="64"/>
      <c r="F200" s="66"/>
      <c r="G200" s="67"/>
      <c r="H200" s="69" t="str">
        <f t="shared" si="6"/>
        <v/>
      </c>
      <c r="I200" s="70" t="str">
        <f t="shared" si="7"/>
        <v/>
      </c>
      <c r="J200" s="64"/>
      <c r="K200" s="64"/>
    </row>
    <row r="201" spans="1:11" x14ac:dyDescent="0.25">
      <c r="A201" s="65"/>
      <c r="B201" s="64"/>
      <c r="C201" s="64"/>
      <c r="D201" s="64"/>
      <c r="E201" s="64"/>
      <c r="F201" s="66"/>
      <c r="G201" s="67"/>
      <c r="H201" s="69" t="str">
        <f t="shared" si="6"/>
        <v/>
      </c>
      <c r="I201" s="70" t="str">
        <f t="shared" si="7"/>
        <v/>
      </c>
      <c r="J201" s="64"/>
      <c r="K201" s="64"/>
    </row>
    <row r="202" spans="1:11" x14ac:dyDescent="0.25">
      <c r="A202" s="65"/>
      <c r="B202" s="64"/>
      <c r="C202" s="64"/>
      <c r="D202" s="64"/>
      <c r="E202" s="64"/>
      <c r="F202" s="66"/>
      <c r="G202" s="67"/>
      <c r="H202" s="69" t="str">
        <f t="shared" si="6"/>
        <v/>
      </c>
      <c r="I202" s="70" t="str">
        <f t="shared" si="7"/>
        <v/>
      </c>
      <c r="J202" s="64"/>
      <c r="K202" s="64"/>
    </row>
    <row r="203" spans="1:11" x14ac:dyDescent="0.25">
      <c r="A203" s="65"/>
      <c r="B203" s="64"/>
      <c r="C203" s="64"/>
      <c r="D203" s="64"/>
      <c r="E203" s="64"/>
      <c r="F203" s="66"/>
      <c r="G203" s="67"/>
      <c r="H203" s="69" t="str">
        <f t="shared" si="6"/>
        <v/>
      </c>
      <c r="I203" s="70" t="str">
        <f t="shared" si="7"/>
        <v/>
      </c>
      <c r="J203" s="64"/>
      <c r="K203" s="64"/>
    </row>
    <row r="204" spans="1:11" x14ac:dyDescent="0.25">
      <c r="A204" s="65"/>
      <c r="B204" s="64"/>
      <c r="C204" s="64"/>
      <c r="D204" s="64"/>
      <c r="E204" s="64"/>
      <c r="F204" s="66"/>
      <c r="G204" s="67"/>
      <c r="H204" s="69" t="str">
        <f t="shared" si="6"/>
        <v/>
      </c>
      <c r="I204" s="70" t="str">
        <f t="shared" si="7"/>
        <v/>
      </c>
      <c r="J204" s="64"/>
      <c r="K204" s="64"/>
    </row>
    <row r="205" spans="1:11" x14ac:dyDescent="0.25">
      <c r="A205" s="65"/>
      <c r="B205" s="64"/>
      <c r="C205" s="64"/>
      <c r="D205" s="64"/>
      <c r="E205" s="64"/>
      <c r="F205" s="66"/>
      <c r="G205" s="67"/>
      <c r="H205" s="69" t="str">
        <f t="shared" si="6"/>
        <v/>
      </c>
      <c r="I205" s="70" t="str">
        <f t="shared" si="7"/>
        <v/>
      </c>
      <c r="J205" s="64"/>
      <c r="K205" s="64"/>
    </row>
    <row r="206" spans="1:11" x14ac:dyDescent="0.25">
      <c r="A206" s="65"/>
      <c r="B206" s="64"/>
      <c r="C206" s="64"/>
      <c r="D206" s="64"/>
      <c r="E206" s="64"/>
      <c r="F206" s="66"/>
      <c r="G206" s="67"/>
      <c r="H206" s="69" t="str">
        <f t="shared" si="6"/>
        <v/>
      </c>
      <c r="I206" s="70" t="str">
        <f t="shared" si="7"/>
        <v/>
      </c>
      <c r="J206" s="64"/>
      <c r="K206" s="64"/>
    </row>
    <row r="207" spans="1:11" x14ac:dyDescent="0.25">
      <c r="A207" s="65"/>
      <c r="B207" s="64"/>
      <c r="C207" s="64"/>
      <c r="D207" s="64"/>
      <c r="E207" s="64"/>
      <c r="F207" s="66"/>
      <c r="G207" s="67"/>
      <c r="H207" s="69" t="str">
        <f t="shared" si="6"/>
        <v/>
      </c>
      <c r="I207" s="70" t="str">
        <f t="shared" si="7"/>
        <v/>
      </c>
      <c r="J207" s="64"/>
      <c r="K207" s="64"/>
    </row>
    <row r="208" spans="1:11" x14ac:dyDescent="0.25">
      <c r="A208" s="65"/>
      <c r="B208" s="64"/>
      <c r="C208" s="64"/>
      <c r="D208" s="64"/>
      <c r="E208" s="64"/>
      <c r="F208" s="66"/>
      <c r="G208" s="67"/>
      <c r="H208" s="69" t="str">
        <f t="shared" si="6"/>
        <v/>
      </c>
      <c r="I208" s="70" t="str">
        <f t="shared" si="7"/>
        <v/>
      </c>
      <c r="J208" s="64"/>
      <c r="K208" s="64"/>
    </row>
    <row r="209" spans="1:11" x14ac:dyDescent="0.25">
      <c r="A209" s="65"/>
      <c r="B209" s="64"/>
      <c r="C209" s="64"/>
      <c r="D209" s="64"/>
      <c r="E209" s="64"/>
      <c r="F209" s="66"/>
      <c r="G209" s="67"/>
      <c r="H209" s="69" t="str">
        <f t="shared" si="6"/>
        <v/>
      </c>
      <c r="I209" s="70" t="str">
        <f t="shared" si="7"/>
        <v/>
      </c>
      <c r="J209" s="64"/>
      <c r="K209" s="64"/>
    </row>
    <row r="210" spans="1:11" x14ac:dyDescent="0.25">
      <c r="A210" s="65"/>
      <c r="B210" s="64"/>
      <c r="C210" s="64"/>
      <c r="D210" s="64"/>
      <c r="E210" s="64"/>
      <c r="F210" s="66"/>
      <c r="G210" s="67"/>
      <c r="H210" s="69" t="str">
        <f t="shared" si="6"/>
        <v/>
      </c>
      <c r="I210" s="70" t="str">
        <f t="shared" si="7"/>
        <v/>
      </c>
      <c r="J210" s="64"/>
      <c r="K210" s="64"/>
    </row>
    <row r="211" spans="1:11" x14ac:dyDescent="0.25">
      <c r="A211" s="65"/>
      <c r="B211" s="64"/>
      <c r="C211" s="64"/>
      <c r="D211" s="64"/>
      <c r="E211" s="64"/>
      <c r="F211" s="66"/>
      <c r="G211" s="67"/>
      <c r="H211" s="69" t="str">
        <f t="shared" si="6"/>
        <v/>
      </c>
      <c r="I211" s="70" t="str">
        <f t="shared" si="7"/>
        <v/>
      </c>
      <c r="J211" s="64"/>
      <c r="K211" s="64"/>
    </row>
    <row r="212" spans="1:11" x14ac:dyDescent="0.25">
      <c r="A212" s="65"/>
      <c r="B212" s="64"/>
      <c r="C212" s="64"/>
      <c r="D212" s="64"/>
      <c r="E212" s="64"/>
      <c r="F212" s="66"/>
      <c r="G212" s="67"/>
      <c r="H212" s="69" t="str">
        <f t="shared" si="6"/>
        <v/>
      </c>
      <c r="I212" s="70" t="str">
        <f t="shared" si="7"/>
        <v/>
      </c>
      <c r="J212" s="64"/>
      <c r="K212" s="64"/>
    </row>
    <row r="213" spans="1:11" x14ac:dyDescent="0.25">
      <c r="A213" s="65"/>
      <c r="B213" s="64"/>
      <c r="C213" s="64"/>
      <c r="D213" s="64"/>
      <c r="E213" s="64"/>
      <c r="F213" s="66"/>
      <c r="G213" s="67"/>
      <c r="H213" s="69" t="str">
        <f t="shared" si="6"/>
        <v/>
      </c>
      <c r="I213" s="70" t="str">
        <f t="shared" si="7"/>
        <v/>
      </c>
      <c r="J213" s="64"/>
      <c r="K213" s="64"/>
    </row>
    <row r="214" spans="1:11" x14ac:dyDescent="0.25">
      <c r="A214" s="65"/>
      <c r="B214" s="64"/>
      <c r="C214" s="64"/>
      <c r="D214" s="64"/>
      <c r="E214" s="64"/>
      <c r="F214" s="66"/>
      <c r="G214" s="67"/>
      <c r="H214" s="69" t="str">
        <f t="shared" si="6"/>
        <v/>
      </c>
      <c r="I214" s="70" t="str">
        <f t="shared" si="7"/>
        <v/>
      </c>
      <c r="J214" s="64"/>
      <c r="K214" s="64"/>
    </row>
    <row r="215" spans="1:11" x14ac:dyDescent="0.25">
      <c r="A215" s="65"/>
      <c r="B215" s="64"/>
      <c r="C215" s="64"/>
      <c r="D215" s="64"/>
      <c r="E215" s="64"/>
      <c r="F215" s="66"/>
      <c r="G215" s="67"/>
      <c r="H215" s="69" t="str">
        <f t="shared" si="6"/>
        <v/>
      </c>
      <c r="I215" s="70" t="str">
        <f t="shared" si="7"/>
        <v/>
      </c>
      <c r="J215" s="64"/>
      <c r="K215" s="64"/>
    </row>
    <row r="216" spans="1:11" x14ac:dyDescent="0.25">
      <c r="A216" s="65"/>
      <c r="B216" s="64"/>
      <c r="C216" s="64"/>
      <c r="D216" s="64"/>
      <c r="E216" s="64"/>
      <c r="F216" s="66"/>
      <c r="G216" s="67"/>
      <c r="H216" s="69" t="str">
        <f t="shared" si="6"/>
        <v/>
      </c>
      <c r="I216" s="70" t="str">
        <f t="shared" si="7"/>
        <v/>
      </c>
      <c r="J216" s="64"/>
      <c r="K216" s="64"/>
    </row>
    <row r="217" spans="1:11" x14ac:dyDescent="0.25">
      <c r="A217" s="65"/>
      <c r="B217" s="64"/>
      <c r="C217" s="64"/>
      <c r="D217" s="64"/>
      <c r="E217" s="64"/>
      <c r="F217" s="66"/>
      <c r="G217" s="67"/>
      <c r="H217" s="69" t="str">
        <f t="shared" si="6"/>
        <v/>
      </c>
      <c r="I217" s="70" t="str">
        <f t="shared" si="7"/>
        <v/>
      </c>
      <c r="J217" s="64"/>
      <c r="K217" s="64"/>
    </row>
    <row r="218" spans="1:11" x14ac:dyDescent="0.25">
      <c r="A218" s="65"/>
      <c r="B218" s="64"/>
      <c r="C218" s="64"/>
      <c r="D218" s="64"/>
      <c r="E218" s="64"/>
      <c r="F218" s="66"/>
      <c r="G218" s="67"/>
      <c r="H218" s="69" t="str">
        <f t="shared" si="6"/>
        <v/>
      </c>
      <c r="I218" s="70" t="str">
        <f t="shared" si="7"/>
        <v/>
      </c>
      <c r="J218" s="64"/>
      <c r="K218" s="64"/>
    </row>
    <row r="219" spans="1:11" x14ac:dyDescent="0.25">
      <c r="A219" s="65"/>
      <c r="B219" s="64"/>
      <c r="C219" s="64"/>
      <c r="D219" s="64"/>
      <c r="E219" s="64"/>
      <c r="F219" s="66"/>
      <c r="G219" s="67"/>
      <c r="H219" s="69" t="str">
        <f t="shared" si="6"/>
        <v/>
      </c>
      <c r="I219" s="70" t="str">
        <f t="shared" si="7"/>
        <v/>
      </c>
      <c r="J219" s="64"/>
      <c r="K219" s="64"/>
    </row>
    <row r="220" spans="1:11" x14ac:dyDescent="0.25">
      <c r="A220" s="65"/>
      <c r="B220" s="64"/>
      <c r="C220" s="64"/>
      <c r="D220" s="64"/>
      <c r="E220" s="64"/>
      <c r="F220" s="66"/>
      <c r="G220" s="67"/>
      <c r="H220" s="69" t="str">
        <f t="shared" si="6"/>
        <v/>
      </c>
      <c r="I220" s="70" t="str">
        <f t="shared" si="7"/>
        <v/>
      </c>
      <c r="J220" s="64"/>
      <c r="K220" s="64"/>
    </row>
    <row r="221" spans="1:11" x14ac:dyDescent="0.25">
      <c r="A221" s="65"/>
      <c r="B221" s="64"/>
      <c r="C221" s="64"/>
      <c r="D221" s="64"/>
      <c r="E221" s="64"/>
      <c r="F221" s="66"/>
      <c r="G221" s="67"/>
      <c r="H221" s="69" t="str">
        <f t="shared" si="6"/>
        <v/>
      </c>
      <c r="I221" s="70" t="str">
        <f t="shared" si="7"/>
        <v/>
      </c>
      <c r="J221" s="64"/>
      <c r="K221" s="64"/>
    </row>
    <row r="222" spans="1:11" x14ac:dyDescent="0.25">
      <c r="A222" s="65"/>
      <c r="B222" s="64"/>
      <c r="C222" s="64"/>
      <c r="D222" s="64"/>
      <c r="E222" s="64"/>
      <c r="F222" s="66"/>
      <c r="G222" s="67"/>
      <c r="H222" s="69" t="str">
        <f t="shared" si="6"/>
        <v/>
      </c>
      <c r="I222" s="70" t="str">
        <f t="shared" si="7"/>
        <v/>
      </c>
      <c r="J222" s="64"/>
      <c r="K222" s="64"/>
    </row>
    <row r="223" spans="1:11" x14ac:dyDescent="0.25">
      <c r="A223" s="65"/>
      <c r="B223" s="64"/>
      <c r="C223" s="64"/>
      <c r="D223" s="64"/>
      <c r="E223" s="64"/>
      <c r="F223" s="66"/>
      <c r="G223" s="67"/>
      <c r="H223" s="69" t="str">
        <f t="shared" si="6"/>
        <v/>
      </c>
      <c r="I223" s="70" t="str">
        <f t="shared" si="7"/>
        <v/>
      </c>
      <c r="J223" s="64"/>
      <c r="K223" s="64"/>
    </row>
    <row r="224" spans="1:11" x14ac:dyDescent="0.25">
      <c r="A224" s="65"/>
      <c r="B224" s="64"/>
      <c r="C224" s="64"/>
      <c r="D224" s="64"/>
      <c r="E224" s="64"/>
      <c r="F224" s="66"/>
      <c r="G224" s="67"/>
      <c r="H224" s="69" t="str">
        <f t="shared" si="6"/>
        <v/>
      </c>
      <c r="I224" s="70" t="str">
        <f t="shared" si="7"/>
        <v/>
      </c>
      <c r="J224" s="64"/>
      <c r="K224" s="64"/>
    </row>
    <row r="225" spans="1:11" x14ac:dyDescent="0.25">
      <c r="A225" s="65"/>
      <c r="B225" s="64"/>
      <c r="C225" s="64"/>
      <c r="D225" s="64"/>
      <c r="E225" s="64"/>
      <c r="F225" s="66"/>
      <c r="G225" s="67"/>
      <c r="H225" s="69" t="str">
        <f t="shared" si="6"/>
        <v/>
      </c>
      <c r="I225" s="70" t="str">
        <f t="shared" si="7"/>
        <v/>
      </c>
      <c r="J225" s="64"/>
      <c r="K225" s="64"/>
    </row>
    <row r="226" spans="1:11" x14ac:dyDescent="0.25">
      <c r="A226" s="65"/>
      <c r="B226" s="64"/>
      <c r="C226" s="64"/>
      <c r="D226" s="64"/>
      <c r="E226" s="64"/>
      <c r="F226" s="66"/>
      <c r="G226" s="67"/>
      <c r="H226" s="69" t="str">
        <f t="shared" si="6"/>
        <v/>
      </c>
      <c r="I226" s="70" t="str">
        <f t="shared" si="7"/>
        <v/>
      </c>
      <c r="J226" s="64"/>
      <c r="K226" s="64"/>
    </row>
    <row r="227" spans="1:11" x14ac:dyDescent="0.25">
      <c r="A227" s="65"/>
      <c r="B227" s="64"/>
      <c r="C227" s="64"/>
      <c r="D227" s="64"/>
      <c r="E227" s="64"/>
      <c r="F227" s="66"/>
      <c r="G227" s="67"/>
      <c r="H227" s="69" t="str">
        <f t="shared" si="6"/>
        <v/>
      </c>
      <c r="I227" s="70" t="str">
        <f t="shared" si="7"/>
        <v/>
      </c>
      <c r="J227" s="64"/>
      <c r="K227" s="64"/>
    </row>
    <row r="228" spans="1:11" x14ac:dyDescent="0.25">
      <c r="A228" s="65"/>
      <c r="B228" s="64"/>
      <c r="C228" s="64"/>
      <c r="D228" s="64"/>
      <c r="E228" s="64"/>
      <c r="F228" s="66"/>
      <c r="G228" s="67"/>
      <c r="H228" s="69" t="str">
        <f t="shared" si="6"/>
        <v/>
      </c>
      <c r="I228" s="70" t="str">
        <f t="shared" si="7"/>
        <v/>
      </c>
      <c r="J228" s="64"/>
      <c r="K228" s="64"/>
    </row>
    <row r="229" spans="1:11" x14ac:dyDescent="0.25">
      <c r="A229" s="65"/>
      <c r="B229" s="64"/>
      <c r="C229" s="64"/>
      <c r="D229" s="64"/>
      <c r="E229" s="64"/>
      <c r="F229" s="66"/>
      <c r="G229" s="67"/>
      <c r="H229" s="69" t="str">
        <f t="shared" si="6"/>
        <v/>
      </c>
      <c r="I229" s="70" t="str">
        <f t="shared" si="7"/>
        <v/>
      </c>
      <c r="J229" s="64"/>
      <c r="K229" s="64"/>
    </row>
    <row r="230" spans="1:11" x14ac:dyDescent="0.25">
      <c r="A230" s="65"/>
      <c r="B230" s="64"/>
      <c r="C230" s="64"/>
      <c r="D230" s="64"/>
      <c r="E230" s="64"/>
      <c r="F230" s="66"/>
      <c r="G230" s="67"/>
      <c r="H230" s="69" t="str">
        <f t="shared" si="6"/>
        <v/>
      </c>
      <c r="I230" s="70" t="str">
        <f t="shared" si="7"/>
        <v/>
      </c>
      <c r="J230" s="64"/>
      <c r="K230" s="64"/>
    </row>
    <row r="231" spans="1:11" x14ac:dyDescent="0.25">
      <c r="A231" s="65"/>
      <c r="B231" s="64"/>
      <c r="C231" s="64"/>
      <c r="D231" s="64"/>
      <c r="E231" s="64"/>
      <c r="F231" s="66"/>
      <c r="G231" s="67"/>
      <c r="H231" s="69" t="str">
        <f t="shared" si="6"/>
        <v/>
      </c>
      <c r="I231" s="70" t="str">
        <f t="shared" si="7"/>
        <v/>
      </c>
      <c r="J231" s="64"/>
      <c r="K231" s="64"/>
    </row>
    <row r="232" spans="1:11" x14ac:dyDescent="0.25">
      <c r="A232" s="65"/>
      <c r="B232" s="64"/>
      <c r="C232" s="64"/>
      <c r="D232" s="64"/>
      <c r="E232" s="64"/>
      <c r="F232" s="66"/>
      <c r="G232" s="67"/>
      <c r="H232" s="69" t="str">
        <f t="shared" si="6"/>
        <v/>
      </c>
      <c r="I232" s="70" t="str">
        <f t="shared" si="7"/>
        <v/>
      </c>
      <c r="J232" s="64"/>
      <c r="K232" s="64"/>
    </row>
    <row r="233" spans="1:11" x14ac:dyDescent="0.25">
      <c r="A233" s="65"/>
      <c r="B233" s="64"/>
      <c r="C233" s="64"/>
      <c r="D233" s="64"/>
      <c r="E233" s="64"/>
      <c r="F233" s="66"/>
      <c r="G233" s="67"/>
      <c r="H233" s="69" t="str">
        <f t="shared" si="6"/>
        <v/>
      </c>
      <c r="I233" s="70" t="str">
        <f t="shared" si="7"/>
        <v/>
      </c>
      <c r="J233" s="64"/>
      <c r="K233" s="64"/>
    </row>
    <row r="234" spans="1:11" x14ac:dyDescent="0.25">
      <c r="A234" s="65"/>
      <c r="B234" s="64"/>
      <c r="C234" s="64"/>
      <c r="D234" s="64"/>
      <c r="E234" s="64"/>
      <c r="F234" s="66"/>
      <c r="G234" s="67"/>
      <c r="H234" s="69" t="str">
        <f t="shared" si="6"/>
        <v/>
      </c>
      <c r="I234" s="70" t="str">
        <f t="shared" si="7"/>
        <v/>
      </c>
      <c r="J234" s="64"/>
      <c r="K234" s="64"/>
    </row>
    <row r="235" spans="1:11" x14ac:dyDescent="0.25">
      <c r="A235" s="65"/>
      <c r="B235" s="64"/>
      <c r="C235" s="64"/>
      <c r="D235" s="64"/>
      <c r="E235" s="64"/>
      <c r="F235" s="66"/>
      <c r="G235" s="67"/>
      <c r="H235" s="69" t="str">
        <f t="shared" si="6"/>
        <v/>
      </c>
      <c r="I235" s="70" t="str">
        <f t="shared" si="7"/>
        <v/>
      </c>
      <c r="J235" s="64"/>
      <c r="K235" s="64"/>
    </row>
    <row r="236" spans="1:11" x14ac:dyDescent="0.25">
      <c r="A236" s="65"/>
      <c r="B236" s="64"/>
      <c r="C236" s="64"/>
      <c r="D236" s="64"/>
      <c r="E236" s="64"/>
      <c r="F236" s="66"/>
      <c r="G236" s="67"/>
      <c r="H236" s="69" t="str">
        <f t="shared" si="6"/>
        <v/>
      </c>
      <c r="I236" s="70" t="str">
        <f t="shared" si="7"/>
        <v/>
      </c>
      <c r="J236" s="64"/>
      <c r="K236" s="64"/>
    </row>
    <row r="237" spans="1:11" x14ac:dyDescent="0.25">
      <c r="A237" s="65"/>
      <c r="B237" s="64"/>
      <c r="C237" s="64"/>
      <c r="D237" s="64"/>
      <c r="E237" s="64"/>
      <c r="F237" s="66"/>
      <c r="G237" s="67"/>
      <c r="H237" s="69" t="str">
        <f t="shared" si="6"/>
        <v/>
      </c>
      <c r="I237" s="70" t="str">
        <f t="shared" si="7"/>
        <v/>
      </c>
      <c r="J237" s="64"/>
      <c r="K237" s="64"/>
    </row>
    <row r="238" spans="1:11" x14ac:dyDescent="0.25">
      <c r="A238" s="65"/>
      <c r="B238" s="64"/>
      <c r="C238" s="64"/>
      <c r="D238" s="64"/>
      <c r="E238" s="64"/>
      <c r="F238" s="66"/>
      <c r="G238" s="67"/>
      <c r="H238" s="69" t="str">
        <f t="shared" si="6"/>
        <v/>
      </c>
      <c r="I238" s="70" t="str">
        <f t="shared" si="7"/>
        <v/>
      </c>
      <c r="J238" s="64"/>
      <c r="K238" s="64"/>
    </row>
    <row r="239" spans="1:11" x14ac:dyDescent="0.25">
      <c r="A239" s="65"/>
      <c r="B239" s="64"/>
      <c r="C239" s="64"/>
      <c r="D239" s="64"/>
      <c r="E239" s="64"/>
      <c r="F239" s="66"/>
      <c r="G239" s="67"/>
      <c r="H239" s="69" t="str">
        <f t="shared" si="6"/>
        <v/>
      </c>
      <c r="I239" s="70" t="str">
        <f t="shared" si="7"/>
        <v/>
      </c>
      <c r="J239" s="64"/>
      <c r="K239" s="64"/>
    </row>
    <row r="240" spans="1:11" x14ac:dyDescent="0.25">
      <c r="A240" s="65"/>
      <c r="B240" s="64"/>
      <c r="C240" s="64"/>
      <c r="D240" s="64"/>
      <c r="E240" s="64"/>
      <c r="F240" s="66"/>
      <c r="G240" s="67"/>
      <c r="H240" s="69" t="str">
        <f t="shared" si="6"/>
        <v/>
      </c>
      <c r="I240" s="70" t="str">
        <f t="shared" si="7"/>
        <v/>
      </c>
      <c r="J240" s="64"/>
      <c r="K240" s="64"/>
    </row>
    <row r="241" spans="1:11" x14ac:dyDescent="0.25">
      <c r="A241" s="65"/>
      <c r="B241" s="64"/>
      <c r="C241" s="64"/>
      <c r="D241" s="64"/>
      <c r="E241" s="64"/>
      <c r="F241" s="66"/>
      <c r="G241" s="67"/>
      <c r="H241" s="69" t="str">
        <f t="shared" si="6"/>
        <v/>
      </c>
      <c r="I241" s="70" t="str">
        <f t="shared" si="7"/>
        <v/>
      </c>
      <c r="J241" s="64"/>
      <c r="K241" s="64"/>
    </row>
    <row r="242" spans="1:11" x14ac:dyDescent="0.25">
      <c r="A242" s="65"/>
      <c r="B242" s="64"/>
      <c r="C242" s="64"/>
      <c r="D242" s="64"/>
      <c r="E242" s="64"/>
      <c r="F242" s="66"/>
      <c r="G242" s="67"/>
      <c r="H242" s="69" t="str">
        <f t="shared" si="6"/>
        <v/>
      </c>
      <c r="I242" s="70" t="str">
        <f t="shared" si="7"/>
        <v/>
      </c>
      <c r="J242" s="64"/>
      <c r="K242" s="64"/>
    </row>
    <row r="243" spans="1:11" x14ac:dyDescent="0.25">
      <c r="A243" s="65"/>
      <c r="B243" s="64"/>
      <c r="C243" s="64"/>
      <c r="D243" s="64"/>
      <c r="E243" s="64"/>
      <c r="F243" s="66"/>
      <c r="G243" s="67"/>
      <c r="H243" s="69" t="str">
        <f t="shared" si="6"/>
        <v/>
      </c>
      <c r="I243" s="70" t="str">
        <f t="shared" si="7"/>
        <v/>
      </c>
      <c r="J243" s="64"/>
      <c r="K243" s="64"/>
    </row>
    <row r="244" spans="1:11" x14ac:dyDescent="0.25">
      <c r="A244" s="65"/>
      <c r="B244" s="64"/>
      <c r="C244" s="64"/>
      <c r="D244" s="64"/>
      <c r="E244" s="64"/>
      <c r="F244" s="66"/>
      <c r="G244" s="67"/>
      <c r="H244" s="69" t="str">
        <f t="shared" si="6"/>
        <v/>
      </c>
      <c r="I244" s="70" t="str">
        <f t="shared" si="7"/>
        <v/>
      </c>
      <c r="J244" s="64"/>
      <c r="K244" s="64"/>
    </row>
    <row r="245" spans="1:11" x14ac:dyDescent="0.25">
      <c r="A245" s="65"/>
      <c r="B245" s="64"/>
      <c r="C245" s="64"/>
      <c r="D245" s="64"/>
      <c r="E245" s="64"/>
      <c r="F245" s="66"/>
      <c r="G245" s="67"/>
      <c r="H245" s="69" t="str">
        <f t="shared" si="6"/>
        <v/>
      </c>
      <c r="I245" s="70" t="str">
        <f t="shared" si="7"/>
        <v/>
      </c>
      <c r="J245" s="64"/>
      <c r="K245" s="64"/>
    </row>
    <row r="246" spans="1:11" x14ac:dyDescent="0.25">
      <c r="A246" s="65"/>
      <c r="B246" s="64"/>
      <c r="C246" s="64"/>
      <c r="D246" s="64"/>
      <c r="E246" s="64"/>
      <c r="F246" s="66"/>
      <c r="G246" s="67"/>
      <c r="H246" s="69" t="str">
        <f t="shared" si="6"/>
        <v/>
      </c>
      <c r="I246" s="70" t="str">
        <f t="shared" si="7"/>
        <v/>
      </c>
      <c r="J246" s="64"/>
      <c r="K246" s="64"/>
    </row>
    <row r="247" spans="1:11" x14ac:dyDescent="0.25">
      <c r="A247" s="65"/>
      <c r="B247" s="64"/>
      <c r="C247" s="64"/>
      <c r="D247" s="64"/>
      <c r="E247" s="64"/>
      <c r="F247" s="66"/>
      <c r="G247" s="67"/>
      <c r="H247" s="69" t="str">
        <f t="shared" si="6"/>
        <v/>
      </c>
      <c r="I247" s="70" t="str">
        <f t="shared" si="7"/>
        <v/>
      </c>
      <c r="J247" s="64"/>
      <c r="K247" s="64"/>
    </row>
    <row r="248" spans="1:11" x14ac:dyDescent="0.25">
      <c r="A248" s="65"/>
      <c r="B248" s="64"/>
      <c r="C248" s="64"/>
      <c r="D248" s="64"/>
      <c r="E248" s="64"/>
      <c r="F248" s="66"/>
      <c r="G248" s="67"/>
      <c r="H248" s="69" t="str">
        <f t="shared" si="6"/>
        <v/>
      </c>
      <c r="I248" s="70" t="str">
        <f t="shared" si="7"/>
        <v/>
      </c>
      <c r="J248" s="64"/>
      <c r="K248" s="64"/>
    </row>
    <row r="249" spans="1:11" x14ac:dyDescent="0.25">
      <c r="A249" s="65"/>
      <c r="B249" s="64"/>
      <c r="C249" s="64"/>
      <c r="D249" s="64"/>
      <c r="E249" s="64"/>
      <c r="F249" s="66"/>
      <c r="G249" s="67"/>
      <c r="H249" s="69" t="str">
        <f t="shared" si="6"/>
        <v/>
      </c>
      <c r="I249" s="70" t="str">
        <f t="shared" si="7"/>
        <v/>
      </c>
      <c r="J249" s="64"/>
      <c r="K249" s="64"/>
    </row>
    <row r="250" spans="1:11" x14ac:dyDescent="0.25">
      <c r="A250" s="65"/>
      <c r="B250" s="64"/>
      <c r="C250" s="64"/>
      <c r="D250" s="64"/>
      <c r="E250" s="64"/>
      <c r="F250" s="66"/>
      <c r="G250" s="67"/>
      <c r="H250" s="69" t="str">
        <f t="shared" si="6"/>
        <v/>
      </c>
      <c r="I250" s="70" t="str">
        <f t="shared" si="7"/>
        <v/>
      </c>
      <c r="J250" s="64"/>
      <c r="K250" s="64"/>
    </row>
    <row r="251" spans="1:11" x14ac:dyDescent="0.25">
      <c r="A251" s="65"/>
      <c r="B251" s="64"/>
      <c r="C251" s="64"/>
      <c r="D251" s="64"/>
      <c r="E251" s="64"/>
      <c r="F251" s="66"/>
      <c r="G251" s="67"/>
      <c r="H251" s="69" t="str">
        <f t="shared" si="6"/>
        <v/>
      </c>
      <c r="I251" s="70" t="str">
        <f t="shared" si="7"/>
        <v/>
      </c>
      <c r="J251" s="64"/>
      <c r="K251" s="64"/>
    </row>
    <row r="252" spans="1:11" x14ac:dyDescent="0.25">
      <c r="A252" s="65"/>
      <c r="B252" s="64"/>
      <c r="C252" s="64"/>
      <c r="D252" s="64"/>
      <c r="E252" s="64"/>
      <c r="F252" s="66"/>
      <c r="G252" s="67"/>
      <c r="H252" s="69" t="str">
        <f t="shared" si="6"/>
        <v/>
      </c>
      <c r="I252" s="70" t="str">
        <f t="shared" si="7"/>
        <v/>
      </c>
      <c r="J252" s="64"/>
      <c r="K252" s="64"/>
    </row>
    <row r="253" spans="1:11" x14ac:dyDescent="0.25">
      <c r="A253" s="65"/>
      <c r="B253" s="64"/>
      <c r="C253" s="64"/>
      <c r="D253" s="64"/>
      <c r="E253" s="64"/>
      <c r="F253" s="66"/>
      <c r="G253" s="67"/>
      <c r="H253" s="69" t="str">
        <f t="shared" si="6"/>
        <v/>
      </c>
      <c r="I253" s="70" t="str">
        <f t="shared" si="7"/>
        <v/>
      </c>
      <c r="J253" s="64"/>
      <c r="K253" s="64"/>
    </row>
    <row r="254" spans="1:11" x14ac:dyDescent="0.25">
      <c r="A254" s="65"/>
      <c r="B254" s="64"/>
      <c r="C254" s="64"/>
      <c r="D254" s="64"/>
      <c r="E254" s="64"/>
      <c r="F254" s="66"/>
      <c r="G254" s="67"/>
      <c r="H254" s="69" t="str">
        <f t="shared" si="6"/>
        <v/>
      </c>
      <c r="I254" s="70" t="str">
        <f t="shared" si="7"/>
        <v/>
      </c>
      <c r="J254" s="64"/>
      <c r="K254" s="64"/>
    </row>
    <row r="255" spans="1:11" x14ac:dyDescent="0.25">
      <c r="A255" s="65"/>
      <c r="B255" s="64"/>
      <c r="C255" s="64"/>
      <c r="D255" s="64"/>
      <c r="E255" s="64"/>
      <c r="F255" s="66"/>
      <c r="G255" s="67"/>
      <c r="H255" s="69" t="str">
        <f t="shared" si="6"/>
        <v/>
      </c>
      <c r="I255" s="70" t="str">
        <f t="shared" si="7"/>
        <v/>
      </c>
      <c r="J255" s="64"/>
      <c r="K255" s="64"/>
    </row>
    <row r="256" spans="1:11" x14ac:dyDescent="0.25">
      <c r="A256" s="65"/>
      <c r="B256" s="64"/>
      <c r="C256" s="64"/>
      <c r="D256" s="64"/>
      <c r="E256" s="64"/>
      <c r="F256" s="66"/>
      <c r="G256" s="67"/>
      <c r="H256" s="69" t="str">
        <f t="shared" si="6"/>
        <v/>
      </c>
      <c r="I256" s="70" t="str">
        <f t="shared" si="7"/>
        <v/>
      </c>
      <c r="J256" s="64"/>
      <c r="K256" s="64"/>
    </row>
    <row r="257" spans="1:11" x14ac:dyDescent="0.25">
      <c r="A257" s="65"/>
      <c r="B257" s="64"/>
      <c r="C257" s="64"/>
      <c r="D257" s="64"/>
      <c r="E257" s="64"/>
      <c r="F257" s="66"/>
      <c r="G257" s="67"/>
      <c r="H257" s="69" t="str">
        <f t="shared" si="6"/>
        <v/>
      </c>
      <c r="I257" s="70" t="str">
        <f t="shared" si="7"/>
        <v/>
      </c>
      <c r="J257" s="64"/>
      <c r="K257" s="64"/>
    </row>
    <row r="258" spans="1:11" x14ac:dyDescent="0.25">
      <c r="A258" s="65"/>
      <c r="B258" s="64"/>
      <c r="C258" s="64"/>
      <c r="D258" s="64"/>
      <c r="E258" s="64"/>
      <c r="F258" s="66"/>
      <c r="G258" s="67"/>
      <c r="H258" s="69" t="str">
        <f t="shared" si="6"/>
        <v/>
      </c>
      <c r="I258" s="70" t="str">
        <f t="shared" si="7"/>
        <v/>
      </c>
      <c r="J258" s="64"/>
      <c r="K258" s="64"/>
    </row>
    <row r="259" spans="1:11" x14ac:dyDescent="0.25">
      <c r="A259" s="65"/>
      <c r="B259" s="64"/>
      <c r="C259" s="64"/>
      <c r="D259" s="64"/>
      <c r="E259" s="64"/>
      <c r="F259" s="66"/>
      <c r="G259" s="67"/>
      <c r="H259" s="69" t="str">
        <f t="shared" ref="H259:H322" si="8">IFERROR(IF(F259="","",F259*G259),"")</f>
        <v/>
      </c>
      <c r="I259" s="70" t="str">
        <f t="shared" ref="I259:I322" si="9">IFERROR(IF(F259="","",F259+H259),"")</f>
        <v/>
      </c>
      <c r="J259" s="64"/>
      <c r="K259" s="64"/>
    </row>
    <row r="260" spans="1:11" x14ac:dyDescent="0.25">
      <c r="A260" s="65"/>
      <c r="B260" s="64"/>
      <c r="C260" s="64"/>
      <c r="D260" s="64"/>
      <c r="E260" s="64"/>
      <c r="F260" s="66"/>
      <c r="G260" s="67"/>
      <c r="H260" s="69" t="str">
        <f t="shared" si="8"/>
        <v/>
      </c>
      <c r="I260" s="70" t="str">
        <f t="shared" si="9"/>
        <v/>
      </c>
      <c r="J260" s="64"/>
      <c r="K260" s="64"/>
    </row>
    <row r="261" spans="1:11" x14ac:dyDescent="0.25">
      <c r="A261" s="65"/>
      <c r="B261" s="64"/>
      <c r="C261" s="64"/>
      <c r="D261" s="64"/>
      <c r="E261" s="64"/>
      <c r="F261" s="66"/>
      <c r="G261" s="67"/>
      <c r="H261" s="69" t="str">
        <f t="shared" si="8"/>
        <v/>
      </c>
      <c r="I261" s="70" t="str">
        <f t="shared" si="9"/>
        <v/>
      </c>
      <c r="J261" s="64"/>
      <c r="K261" s="64"/>
    </row>
    <row r="262" spans="1:11" x14ac:dyDescent="0.25">
      <c r="A262" s="65"/>
      <c r="B262" s="64"/>
      <c r="C262" s="64"/>
      <c r="D262" s="64"/>
      <c r="E262" s="64"/>
      <c r="F262" s="66"/>
      <c r="G262" s="67"/>
      <c r="H262" s="69" t="str">
        <f t="shared" si="8"/>
        <v/>
      </c>
      <c r="I262" s="70" t="str">
        <f t="shared" si="9"/>
        <v/>
      </c>
      <c r="J262" s="64"/>
      <c r="K262" s="64"/>
    </row>
    <row r="263" spans="1:11" x14ac:dyDescent="0.25">
      <c r="A263" s="65"/>
      <c r="B263" s="64"/>
      <c r="C263" s="64"/>
      <c r="D263" s="64"/>
      <c r="E263" s="64"/>
      <c r="F263" s="66"/>
      <c r="G263" s="67"/>
      <c r="H263" s="69" t="str">
        <f t="shared" si="8"/>
        <v/>
      </c>
      <c r="I263" s="70" t="str">
        <f t="shared" si="9"/>
        <v/>
      </c>
      <c r="J263" s="64"/>
      <c r="K263" s="64"/>
    </row>
    <row r="264" spans="1:11" x14ac:dyDescent="0.25">
      <c r="A264" s="65"/>
      <c r="B264" s="64"/>
      <c r="C264" s="64"/>
      <c r="D264" s="64"/>
      <c r="E264" s="64"/>
      <c r="F264" s="66"/>
      <c r="G264" s="67"/>
      <c r="H264" s="69" t="str">
        <f t="shared" si="8"/>
        <v/>
      </c>
      <c r="I264" s="70" t="str">
        <f t="shared" si="9"/>
        <v/>
      </c>
      <c r="J264" s="64"/>
      <c r="K264" s="64"/>
    </row>
    <row r="265" spans="1:11" x14ac:dyDescent="0.25">
      <c r="A265" s="65"/>
      <c r="B265" s="64"/>
      <c r="C265" s="64"/>
      <c r="D265" s="64"/>
      <c r="E265" s="64"/>
      <c r="F265" s="66"/>
      <c r="G265" s="67"/>
      <c r="H265" s="69" t="str">
        <f t="shared" si="8"/>
        <v/>
      </c>
      <c r="I265" s="70" t="str">
        <f t="shared" si="9"/>
        <v/>
      </c>
      <c r="J265" s="64"/>
      <c r="K265" s="64"/>
    </row>
    <row r="266" spans="1:11" x14ac:dyDescent="0.25">
      <c r="A266" s="65"/>
      <c r="B266" s="64"/>
      <c r="C266" s="64"/>
      <c r="D266" s="64"/>
      <c r="E266" s="64"/>
      <c r="F266" s="66"/>
      <c r="G266" s="67"/>
      <c r="H266" s="69" t="str">
        <f t="shared" si="8"/>
        <v/>
      </c>
      <c r="I266" s="70" t="str">
        <f t="shared" si="9"/>
        <v/>
      </c>
      <c r="J266" s="64"/>
      <c r="K266" s="64"/>
    </row>
    <row r="267" spans="1:11" x14ac:dyDescent="0.25">
      <c r="A267" s="65"/>
      <c r="B267" s="64"/>
      <c r="C267" s="64"/>
      <c r="D267" s="64"/>
      <c r="E267" s="64"/>
      <c r="F267" s="66"/>
      <c r="G267" s="67"/>
      <c r="H267" s="69" t="str">
        <f t="shared" si="8"/>
        <v/>
      </c>
      <c r="I267" s="70" t="str">
        <f t="shared" si="9"/>
        <v/>
      </c>
      <c r="J267" s="64"/>
      <c r="K267" s="64"/>
    </row>
    <row r="268" spans="1:11" x14ac:dyDescent="0.25">
      <c r="A268" s="65"/>
      <c r="B268" s="64"/>
      <c r="C268" s="64"/>
      <c r="D268" s="64"/>
      <c r="E268" s="64"/>
      <c r="F268" s="66"/>
      <c r="G268" s="67"/>
      <c r="H268" s="69" t="str">
        <f t="shared" si="8"/>
        <v/>
      </c>
      <c r="I268" s="70" t="str">
        <f t="shared" si="9"/>
        <v/>
      </c>
      <c r="J268" s="64"/>
      <c r="K268" s="64"/>
    </row>
    <row r="269" spans="1:11" x14ac:dyDescent="0.25">
      <c r="A269" s="65"/>
      <c r="B269" s="64"/>
      <c r="C269" s="64"/>
      <c r="D269" s="64"/>
      <c r="E269" s="64"/>
      <c r="F269" s="66"/>
      <c r="G269" s="67"/>
      <c r="H269" s="69" t="str">
        <f t="shared" si="8"/>
        <v/>
      </c>
      <c r="I269" s="70" t="str">
        <f t="shared" si="9"/>
        <v/>
      </c>
      <c r="J269" s="64"/>
      <c r="K269" s="64"/>
    </row>
    <row r="270" spans="1:11" x14ac:dyDescent="0.25">
      <c r="A270" s="65"/>
      <c r="B270" s="64"/>
      <c r="C270" s="64"/>
      <c r="D270" s="64"/>
      <c r="E270" s="64"/>
      <c r="F270" s="66"/>
      <c r="G270" s="67"/>
      <c r="H270" s="69" t="str">
        <f t="shared" si="8"/>
        <v/>
      </c>
      <c r="I270" s="70" t="str">
        <f t="shared" si="9"/>
        <v/>
      </c>
      <c r="J270" s="64"/>
      <c r="K270" s="64"/>
    </row>
    <row r="271" spans="1:11" x14ac:dyDescent="0.25">
      <c r="A271" s="65"/>
      <c r="B271" s="64"/>
      <c r="C271" s="64"/>
      <c r="D271" s="64"/>
      <c r="E271" s="64"/>
      <c r="F271" s="66"/>
      <c r="G271" s="67"/>
      <c r="H271" s="69" t="str">
        <f t="shared" si="8"/>
        <v/>
      </c>
      <c r="I271" s="70" t="str">
        <f t="shared" si="9"/>
        <v/>
      </c>
      <c r="J271" s="64"/>
      <c r="K271" s="64"/>
    </row>
    <row r="272" spans="1:11" x14ac:dyDescent="0.25">
      <c r="A272" s="65"/>
      <c r="B272" s="64"/>
      <c r="C272" s="64"/>
      <c r="D272" s="64"/>
      <c r="E272" s="64"/>
      <c r="F272" s="66"/>
      <c r="G272" s="67"/>
      <c r="H272" s="69" t="str">
        <f t="shared" si="8"/>
        <v/>
      </c>
      <c r="I272" s="70" t="str">
        <f t="shared" si="9"/>
        <v/>
      </c>
      <c r="J272" s="64"/>
      <c r="K272" s="64"/>
    </row>
    <row r="273" spans="1:11" x14ac:dyDescent="0.25">
      <c r="A273" s="65"/>
      <c r="B273" s="64"/>
      <c r="C273" s="64"/>
      <c r="D273" s="64"/>
      <c r="E273" s="64"/>
      <c r="F273" s="66"/>
      <c r="G273" s="67"/>
      <c r="H273" s="69" t="str">
        <f t="shared" si="8"/>
        <v/>
      </c>
      <c r="I273" s="70" t="str">
        <f t="shared" si="9"/>
        <v/>
      </c>
      <c r="J273" s="64"/>
      <c r="K273" s="64"/>
    </row>
    <row r="274" spans="1:11" x14ac:dyDescent="0.25">
      <c r="A274" s="65"/>
      <c r="B274" s="64"/>
      <c r="C274" s="64"/>
      <c r="D274" s="64"/>
      <c r="E274" s="64"/>
      <c r="F274" s="66"/>
      <c r="G274" s="67"/>
      <c r="H274" s="69" t="str">
        <f t="shared" si="8"/>
        <v/>
      </c>
      <c r="I274" s="70" t="str">
        <f t="shared" si="9"/>
        <v/>
      </c>
      <c r="J274" s="64"/>
      <c r="K274" s="64"/>
    </row>
    <row r="275" spans="1:11" x14ac:dyDescent="0.25">
      <c r="A275" s="65"/>
      <c r="B275" s="64"/>
      <c r="C275" s="64"/>
      <c r="D275" s="64"/>
      <c r="E275" s="64"/>
      <c r="F275" s="66"/>
      <c r="G275" s="67"/>
      <c r="H275" s="69" t="str">
        <f t="shared" si="8"/>
        <v/>
      </c>
      <c r="I275" s="70" t="str">
        <f t="shared" si="9"/>
        <v/>
      </c>
      <c r="J275" s="64"/>
      <c r="K275" s="64"/>
    </row>
    <row r="276" spans="1:11" x14ac:dyDescent="0.25">
      <c r="A276" s="65"/>
      <c r="B276" s="64"/>
      <c r="C276" s="64"/>
      <c r="D276" s="64"/>
      <c r="E276" s="64"/>
      <c r="F276" s="66"/>
      <c r="G276" s="67"/>
      <c r="H276" s="69" t="str">
        <f t="shared" si="8"/>
        <v/>
      </c>
      <c r="I276" s="70" t="str">
        <f t="shared" si="9"/>
        <v/>
      </c>
      <c r="J276" s="64"/>
      <c r="K276" s="64"/>
    </row>
    <row r="277" spans="1:11" x14ac:dyDescent="0.25">
      <c r="A277" s="65"/>
      <c r="B277" s="64"/>
      <c r="C277" s="64"/>
      <c r="D277" s="64"/>
      <c r="E277" s="64"/>
      <c r="F277" s="66"/>
      <c r="G277" s="67"/>
      <c r="H277" s="69" t="str">
        <f t="shared" si="8"/>
        <v/>
      </c>
      <c r="I277" s="70" t="str">
        <f t="shared" si="9"/>
        <v/>
      </c>
      <c r="J277" s="64"/>
      <c r="K277" s="64"/>
    </row>
    <row r="278" spans="1:11" x14ac:dyDescent="0.25">
      <c r="A278" s="65"/>
      <c r="B278" s="64"/>
      <c r="C278" s="64"/>
      <c r="D278" s="64"/>
      <c r="E278" s="64"/>
      <c r="F278" s="66"/>
      <c r="G278" s="67"/>
      <c r="H278" s="69" t="str">
        <f t="shared" si="8"/>
        <v/>
      </c>
      <c r="I278" s="70" t="str">
        <f t="shared" si="9"/>
        <v/>
      </c>
      <c r="J278" s="64"/>
      <c r="K278" s="64"/>
    </row>
    <row r="279" spans="1:11" x14ac:dyDescent="0.25">
      <c r="A279" s="65"/>
      <c r="B279" s="64"/>
      <c r="C279" s="64"/>
      <c r="D279" s="64"/>
      <c r="E279" s="64"/>
      <c r="F279" s="66"/>
      <c r="G279" s="67"/>
      <c r="H279" s="69" t="str">
        <f t="shared" si="8"/>
        <v/>
      </c>
      <c r="I279" s="70" t="str">
        <f t="shared" si="9"/>
        <v/>
      </c>
      <c r="J279" s="64"/>
      <c r="K279" s="64"/>
    </row>
    <row r="280" spans="1:11" x14ac:dyDescent="0.25">
      <c r="A280" s="65"/>
      <c r="B280" s="64"/>
      <c r="C280" s="64"/>
      <c r="D280" s="64"/>
      <c r="E280" s="64"/>
      <c r="F280" s="66"/>
      <c r="G280" s="67"/>
      <c r="H280" s="69" t="str">
        <f t="shared" si="8"/>
        <v/>
      </c>
      <c r="I280" s="70" t="str">
        <f t="shared" si="9"/>
        <v/>
      </c>
      <c r="J280" s="64"/>
      <c r="K280" s="64"/>
    </row>
    <row r="281" spans="1:11" x14ac:dyDescent="0.25">
      <c r="A281" s="65"/>
      <c r="B281" s="64"/>
      <c r="C281" s="64"/>
      <c r="D281" s="64"/>
      <c r="E281" s="64"/>
      <c r="F281" s="66"/>
      <c r="G281" s="67"/>
      <c r="H281" s="69" t="str">
        <f t="shared" si="8"/>
        <v/>
      </c>
      <c r="I281" s="70" t="str">
        <f t="shared" si="9"/>
        <v/>
      </c>
      <c r="J281" s="64"/>
      <c r="K281" s="64"/>
    </row>
    <row r="282" spans="1:11" x14ac:dyDescent="0.25">
      <c r="A282" s="65"/>
      <c r="B282" s="64"/>
      <c r="C282" s="64"/>
      <c r="D282" s="64"/>
      <c r="E282" s="64"/>
      <c r="F282" s="66"/>
      <c r="G282" s="67"/>
      <c r="H282" s="69" t="str">
        <f t="shared" si="8"/>
        <v/>
      </c>
      <c r="I282" s="70" t="str">
        <f t="shared" si="9"/>
        <v/>
      </c>
      <c r="J282" s="64"/>
      <c r="K282" s="64"/>
    </row>
    <row r="283" spans="1:11" x14ac:dyDescent="0.25">
      <c r="A283" s="65"/>
      <c r="B283" s="64"/>
      <c r="C283" s="64"/>
      <c r="D283" s="64"/>
      <c r="E283" s="64"/>
      <c r="F283" s="66"/>
      <c r="G283" s="67"/>
      <c r="H283" s="69" t="str">
        <f t="shared" si="8"/>
        <v/>
      </c>
      <c r="I283" s="70" t="str">
        <f t="shared" si="9"/>
        <v/>
      </c>
      <c r="J283" s="64"/>
      <c r="K283" s="64"/>
    </row>
    <row r="284" spans="1:11" x14ac:dyDescent="0.25">
      <c r="A284" s="65"/>
      <c r="B284" s="64"/>
      <c r="C284" s="64"/>
      <c r="D284" s="64"/>
      <c r="E284" s="64"/>
      <c r="F284" s="66"/>
      <c r="G284" s="67"/>
      <c r="H284" s="69" t="str">
        <f t="shared" si="8"/>
        <v/>
      </c>
      <c r="I284" s="70" t="str">
        <f t="shared" si="9"/>
        <v/>
      </c>
      <c r="J284" s="64"/>
      <c r="K284" s="64"/>
    </row>
    <row r="285" spans="1:11" x14ac:dyDescent="0.25">
      <c r="A285" s="65"/>
      <c r="B285" s="64"/>
      <c r="C285" s="64"/>
      <c r="D285" s="64"/>
      <c r="E285" s="64"/>
      <c r="F285" s="66"/>
      <c r="G285" s="67"/>
      <c r="H285" s="69" t="str">
        <f t="shared" si="8"/>
        <v/>
      </c>
      <c r="I285" s="70" t="str">
        <f t="shared" si="9"/>
        <v/>
      </c>
      <c r="J285" s="64"/>
      <c r="K285" s="64"/>
    </row>
    <row r="286" spans="1:11" x14ac:dyDescent="0.25">
      <c r="A286" s="65"/>
      <c r="B286" s="64"/>
      <c r="C286" s="64"/>
      <c r="D286" s="64"/>
      <c r="E286" s="64"/>
      <c r="F286" s="66"/>
      <c r="G286" s="67"/>
      <c r="H286" s="69" t="str">
        <f t="shared" si="8"/>
        <v/>
      </c>
      <c r="I286" s="70" t="str">
        <f t="shared" si="9"/>
        <v/>
      </c>
      <c r="J286" s="64"/>
      <c r="K286" s="64"/>
    </row>
    <row r="287" spans="1:11" x14ac:dyDescent="0.25">
      <c r="A287" s="65"/>
      <c r="B287" s="64"/>
      <c r="C287" s="64"/>
      <c r="D287" s="64"/>
      <c r="E287" s="64"/>
      <c r="F287" s="66"/>
      <c r="G287" s="67"/>
      <c r="H287" s="69" t="str">
        <f t="shared" si="8"/>
        <v/>
      </c>
      <c r="I287" s="70" t="str">
        <f t="shared" si="9"/>
        <v/>
      </c>
      <c r="J287" s="64"/>
      <c r="K287" s="64"/>
    </row>
    <row r="288" spans="1:11" x14ac:dyDescent="0.25">
      <c r="A288" s="65"/>
      <c r="B288" s="64"/>
      <c r="C288" s="64"/>
      <c r="D288" s="64"/>
      <c r="E288" s="64"/>
      <c r="F288" s="66"/>
      <c r="G288" s="67"/>
      <c r="H288" s="69" t="str">
        <f t="shared" si="8"/>
        <v/>
      </c>
      <c r="I288" s="70" t="str">
        <f t="shared" si="9"/>
        <v/>
      </c>
      <c r="J288" s="64"/>
      <c r="K288" s="64"/>
    </row>
    <row r="289" spans="1:11" x14ac:dyDescent="0.25">
      <c r="A289" s="65"/>
      <c r="B289" s="64"/>
      <c r="C289" s="64"/>
      <c r="D289" s="64"/>
      <c r="E289" s="64"/>
      <c r="F289" s="66"/>
      <c r="G289" s="67"/>
      <c r="H289" s="69" t="str">
        <f t="shared" si="8"/>
        <v/>
      </c>
      <c r="I289" s="70" t="str">
        <f t="shared" si="9"/>
        <v/>
      </c>
      <c r="J289" s="64"/>
      <c r="K289" s="64"/>
    </row>
    <row r="290" spans="1:11" x14ac:dyDescent="0.25">
      <c r="A290" s="65"/>
      <c r="B290" s="64"/>
      <c r="C290" s="64"/>
      <c r="D290" s="64"/>
      <c r="E290" s="64"/>
      <c r="F290" s="66"/>
      <c r="G290" s="67"/>
      <c r="H290" s="69" t="str">
        <f t="shared" si="8"/>
        <v/>
      </c>
      <c r="I290" s="70" t="str">
        <f t="shared" si="9"/>
        <v/>
      </c>
      <c r="J290" s="64"/>
      <c r="K290" s="64"/>
    </row>
    <row r="291" spans="1:11" x14ac:dyDescent="0.25">
      <c r="A291" s="65"/>
      <c r="B291" s="64"/>
      <c r="C291" s="64"/>
      <c r="D291" s="64"/>
      <c r="E291" s="64"/>
      <c r="F291" s="66"/>
      <c r="G291" s="67"/>
      <c r="H291" s="69" t="str">
        <f t="shared" si="8"/>
        <v/>
      </c>
      <c r="I291" s="70" t="str">
        <f t="shared" si="9"/>
        <v/>
      </c>
      <c r="J291" s="64"/>
      <c r="K291" s="64"/>
    </row>
    <row r="292" spans="1:11" x14ac:dyDescent="0.25">
      <c r="A292" s="65"/>
      <c r="B292" s="64"/>
      <c r="C292" s="64"/>
      <c r="D292" s="64"/>
      <c r="E292" s="64"/>
      <c r="F292" s="66"/>
      <c r="G292" s="67"/>
      <c r="H292" s="69" t="str">
        <f t="shared" si="8"/>
        <v/>
      </c>
      <c r="I292" s="70" t="str">
        <f t="shared" si="9"/>
        <v/>
      </c>
      <c r="J292" s="64"/>
      <c r="K292" s="64"/>
    </row>
    <row r="293" spans="1:11" x14ac:dyDescent="0.25">
      <c r="A293" s="65"/>
      <c r="B293" s="64"/>
      <c r="C293" s="64"/>
      <c r="D293" s="64"/>
      <c r="E293" s="64"/>
      <c r="F293" s="66"/>
      <c r="G293" s="67"/>
      <c r="H293" s="69" t="str">
        <f t="shared" si="8"/>
        <v/>
      </c>
      <c r="I293" s="70" t="str">
        <f t="shared" si="9"/>
        <v/>
      </c>
      <c r="J293" s="64"/>
      <c r="K293" s="64"/>
    </row>
    <row r="294" spans="1:11" x14ac:dyDescent="0.25">
      <c r="A294" s="65"/>
      <c r="B294" s="64"/>
      <c r="C294" s="64"/>
      <c r="D294" s="64"/>
      <c r="E294" s="64"/>
      <c r="F294" s="66"/>
      <c r="G294" s="67"/>
      <c r="H294" s="69" t="str">
        <f t="shared" si="8"/>
        <v/>
      </c>
      <c r="I294" s="70" t="str">
        <f t="shared" si="9"/>
        <v/>
      </c>
      <c r="J294" s="64"/>
      <c r="K294" s="64"/>
    </row>
    <row r="295" spans="1:11" x14ac:dyDescent="0.25">
      <c r="A295" s="65"/>
      <c r="B295" s="64"/>
      <c r="C295" s="64"/>
      <c r="D295" s="64"/>
      <c r="E295" s="64"/>
      <c r="F295" s="66"/>
      <c r="G295" s="67"/>
      <c r="H295" s="69" t="str">
        <f t="shared" si="8"/>
        <v/>
      </c>
      <c r="I295" s="70" t="str">
        <f t="shared" si="9"/>
        <v/>
      </c>
      <c r="J295" s="64"/>
      <c r="K295" s="64"/>
    </row>
    <row r="296" spans="1:11" x14ac:dyDescent="0.25">
      <c r="A296" s="65"/>
      <c r="B296" s="64"/>
      <c r="C296" s="64"/>
      <c r="D296" s="64"/>
      <c r="E296" s="64"/>
      <c r="F296" s="66"/>
      <c r="G296" s="67"/>
      <c r="H296" s="69" t="str">
        <f t="shared" si="8"/>
        <v/>
      </c>
      <c r="I296" s="70" t="str">
        <f t="shared" si="9"/>
        <v/>
      </c>
      <c r="J296" s="64"/>
      <c r="K296" s="64"/>
    </row>
    <row r="297" spans="1:11" x14ac:dyDescent="0.25">
      <c r="A297" s="65"/>
      <c r="B297" s="64"/>
      <c r="C297" s="64"/>
      <c r="D297" s="64"/>
      <c r="E297" s="64"/>
      <c r="F297" s="66"/>
      <c r="G297" s="67"/>
      <c r="H297" s="69" t="str">
        <f t="shared" si="8"/>
        <v/>
      </c>
      <c r="I297" s="70" t="str">
        <f t="shared" si="9"/>
        <v/>
      </c>
      <c r="J297" s="64"/>
      <c r="K297" s="64"/>
    </row>
    <row r="298" spans="1:11" x14ac:dyDescent="0.25">
      <c r="A298" s="65"/>
      <c r="B298" s="64"/>
      <c r="C298" s="64"/>
      <c r="D298" s="64"/>
      <c r="E298" s="64"/>
      <c r="F298" s="66"/>
      <c r="G298" s="67"/>
      <c r="H298" s="69" t="str">
        <f t="shared" si="8"/>
        <v/>
      </c>
      <c r="I298" s="70" t="str">
        <f t="shared" si="9"/>
        <v/>
      </c>
      <c r="J298" s="64"/>
      <c r="K298" s="64"/>
    </row>
    <row r="299" spans="1:11" x14ac:dyDescent="0.25">
      <c r="A299" s="65"/>
      <c r="B299" s="64"/>
      <c r="C299" s="64"/>
      <c r="D299" s="64"/>
      <c r="E299" s="64"/>
      <c r="F299" s="66"/>
      <c r="G299" s="67"/>
      <c r="H299" s="69" t="str">
        <f t="shared" si="8"/>
        <v/>
      </c>
      <c r="I299" s="70" t="str">
        <f t="shared" si="9"/>
        <v/>
      </c>
      <c r="J299" s="64"/>
      <c r="K299" s="64"/>
    </row>
    <row r="300" spans="1:11" x14ac:dyDescent="0.25">
      <c r="A300" s="65"/>
      <c r="B300" s="64"/>
      <c r="C300" s="64"/>
      <c r="D300" s="64"/>
      <c r="E300" s="64"/>
      <c r="F300" s="66"/>
      <c r="G300" s="67"/>
      <c r="H300" s="69" t="str">
        <f t="shared" si="8"/>
        <v/>
      </c>
      <c r="I300" s="70" t="str">
        <f t="shared" si="9"/>
        <v/>
      </c>
      <c r="J300" s="64"/>
      <c r="K300" s="64"/>
    </row>
    <row r="301" spans="1:11" x14ac:dyDescent="0.25">
      <c r="A301" s="65"/>
      <c r="B301" s="64"/>
      <c r="C301" s="64"/>
      <c r="D301" s="64"/>
      <c r="E301" s="64"/>
      <c r="F301" s="66"/>
      <c r="G301" s="67"/>
      <c r="H301" s="69" t="str">
        <f t="shared" si="8"/>
        <v/>
      </c>
      <c r="I301" s="70" t="str">
        <f t="shared" si="9"/>
        <v/>
      </c>
      <c r="J301" s="64"/>
      <c r="K301" s="64"/>
    </row>
    <row r="302" spans="1:11" x14ac:dyDescent="0.25">
      <c r="A302" s="65"/>
      <c r="B302" s="64"/>
      <c r="C302" s="64"/>
      <c r="D302" s="64"/>
      <c r="E302" s="64"/>
      <c r="F302" s="66"/>
      <c r="G302" s="67"/>
      <c r="H302" s="69" t="str">
        <f t="shared" si="8"/>
        <v/>
      </c>
      <c r="I302" s="70" t="str">
        <f t="shared" si="9"/>
        <v/>
      </c>
      <c r="J302" s="64"/>
      <c r="K302" s="64"/>
    </row>
    <row r="303" spans="1:11" x14ac:dyDescent="0.25">
      <c r="A303" s="65"/>
      <c r="B303" s="64"/>
      <c r="C303" s="64"/>
      <c r="D303" s="64"/>
      <c r="E303" s="64"/>
      <c r="F303" s="66"/>
      <c r="G303" s="67"/>
      <c r="H303" s="69" t="str">
        <f t="shared" si="8"/>
        <v/>
      </c>
      <c r="I303" s="70" t="str">
        <f t="shared" si="9"/>
        <v/>
      </c>
      <c r="J303" s="64"/>
      <c r="K303" s="64"/>
    </row>
    <row r="304" spans="1:11" x14ac:dyDescent="0.25">
      <c r="A304" s="65"/>
      <c r="B304" s="64"/>
      <c r="C304" s="64"/>
      <c r="D304" s="64"/>
      <c r="E304" s="64"/>
      <c r="F304" s="66"/>
      <c r="G304" s="67"/>
      <c r="H304" s="69" t="str">
        <f t="shared" si="8"/>
        <v/>
      </c>
      <c r="I304" s="70" t="str">
        <f t="shared" si="9"/>
        <v/>
      </c>
      <c r="J304" s="64"/>
      <c r="K304" s="64"/>
    </row>
    <row r="305" spans="1:11" x14ac:dyDescent="0.25">
      <c r="A305" s="65"/>
      <c r="B305" s="64"/>
      <c r="C305" s="64"/>
      <c r="D305" s="64"/>
      <c r="E305" s="64"/>
      <c r="F305" s="66"/>
      <c r="G305" s="67"/>
      <c r="H305" s="69" t="str">
        <f t="shared" si="8"/>
        <v/>
      </c>
      <c r="I305" s="70" t="str">
        <f t="shared" si="9"/>
        <v/>
      </c>
      <c r="J305" s="64"/>
      <c r="K305" s="64"/>
    </row>
    <row r="306" spans="1:11" x14ac:dyDescent="0.25">
      <c r="A306" s="65"/>
      <c r="B306" s="64"/>
      <c r="C306" s="64"/>
      <c r="D306" s="64"/>
      <c r="E306" s="64"/>
      <c r="F306" s="66"/>
      <c r="G306" s="67"/>
      <c r="H306" s="69" t="str">
        <f t="shared" si="8"/>
        <v/>
      </c>
      <c r="I306" s="70" t="str">
        <f t="shared" si="9"/>
        <v/>
      </c>
      <c r="J306" s="64"/>
      <c r="K306" s="64"/>
    </row>
    <row r="307" spans="1:11" x14ac:dyDescent="0.25">
      <c r="A307" s="65"/>
      <c r="B307" s="64"/>
      <c r="C307" s="64"/>
      <c r="D307" s="64"/>
      <c r="E307" s="64"/>
      <c r="F307" s="66"/>
      <c r="G307" s="67"/>
      <c r="H307" s="69" t="str">
        <f t="shared" si="8"/>
        <v/>
      </c>
      <c r="I307" s="70" t="str">
        <f t="shared" si="9"/>
        <v/>
      </c>
      <c r="J307" s="64"/>
      <c r="K307" s="64"/>
    </row>
    <row r="308" spans="1:11" x14ac:dyDescent="0.25">
      <c r="A308" s="65"/>
      <c r="B308" s="64"/>
      <c r="C308" s="64"/>
      <c r="D308" s="64"/>
      <c r="E308" s="64"/>
      <c r="F308" s="66"/>
      <c r="G308" s="67"/>
      <c r="H308" s="69" t="str">
        <f t="shared" si="8"/>
        <v/>
      </c>
      <c r="I308" s="70" t="str">
        <f t="shared" si="9"/>
        <v/>
      </c>
      <c r="J308" s="64"/>
      <c r="K308" s="64"/>
    </row>
    <row r="309" spans="1:11" x14ac:dyDescent="0.25">
      <c r="A309" s="65"/>
      <c r="B309" s="64"/>
      <c r="C309" s="64"/>
      <c r="D309" s="64"/>
      <c r="E309" s="64"/>
      <c r="F309" s="66"/>
      <c r="G309" s="67"/>
      <c r="H309" s="69" t="str">
        <f t="shared" si="8"/>
        <v/>
      </c>
      <c r="I309" s="70" t="str">
        <f t="shared" si="9"/>
        <v/>
      </c>
      <c r="J309" s="64"/>
      <c r="K309" s="64"/>
    </row>
    <row r="310" spans="1:11" x14ac:dyDescent="0.25">
      <c r="A310" s="65"/>
      <c r="B310" s="64"/>
      <c r="C310" s="64"/>
      <c r="D310" s="64"/>
      <c r="E310" s="64"/>
      <c r="F310" s="66"/>
      <c r="G310" s="67"/>
      <c r="H310" s="69" t="str">
        <f t="shared" si="8"/>
        <v/>
      </c>
      <c r="I310" s="70" t="str">
        <f t="shared" si="9"/>
        <v/>
      </c>
      <c r="J310" s="64"/>
      <c r="K310" s="64"/>
    </row>
    <row r="311" spans="1:11" x14ac:dyDescent="0.25">
      <c r="A311" s="65"/>
      <c r="B311" s="64"/>
      <c r="C311" s="64"/>
      <c r="D311" s="64"/>
      <c r="E311" s="64"/>
      <c r="F311" s="66"/>
      <c r="G311" s="67"/>
      <c r="H311" s="69" t="str">
        <f t="shared" si="8"/>
        <v/>
      </c>
      <c r="I311" s="70" t="str">
        <f t="shared" si="9"/>
        <v/>
      </c>
      <c r="J311" s="64"/>
      <c r="K311" s="64"/>
    </row>
    <row r="312" spans="1:11" x14ac:dyDescent="0.25">
      <c r="A312" s="65"/>
      <c r="B312" s="64"/>
      <c r="C312" s="64"/>
      <c r="D312" s="64"/>
      <c r="E312" s="64"/>
      <c r="F312" s="66"/>
      <c r="G312" s="67"/>
      <c r="H312" s="69" t="str">
        <f t="shared" si="8"/>
        <v/>
      </c>
      <c r="I312" s="70" t="str">
        <f t="shared" si="9"/>
        <v/>
      </c>
      <c r="J312" s="64"/>
      <c r="K312" s="64"/>
    </row>
    <row r="313" spans="1:11" x14ac:dyDescent="0.25">
      <c r="A313" s="65"/>
      <c r="B313" s="64"/>
      <c r="C313" s="64"/>
      <c r="D313" s="64"/>
      <c r="E313" s="64"/>
      <c r="F313" s="66"/>
      <c r="G313" s="67"/>
      <c r="H313" s="69" t="str">
        <f t="shared" si="8"/>
        <v/>
      </c>
      <c r="I313" s="70" t="str">
        <f t="shared" si="9"/>
        <v/>
      </c>
      <c r="J313" s="64"/>
      <c r="K313" s="64"/>
    </row>
    <row r="314" spans="1:11" x14ac:dyDescent="0.25">
      <c r="A314" s="65"/>
      <c r="B314" s="64"/>
      <c r="C314" s="64"/>
      <c r="D314" s="64"/>
      <c r="E314" s="64"/>
      <c r="F314" s="66"/>
      <c r="G314" s="67"/>
      <c r="H314" s="69" t="str">
        <f t="shared" si="8"/>
        <v/>
      </c>
      <c r="I314" s="70" t="str">
        <f t="shared" si="9"/>
        <v/>
      </c>
      <c r="J314" s="64"/>
      <c r="K314" s="64"/>
    </row>
    <row r="315" spans="1:11" x14ac:dyDescent="0.25">
      <c r="A315" s="65"/>
      <c r="B315" s="64"/>
      <c r="C315" s="64"/>
      <c r="D315" s="64"/>
      <c r="E315" s="64"/>
      <c r="F315" s="66"/>
      <c r="G315" s="67"/>
      <c r="H315" s="69" t="str">
        <f t="shared" si="8"/>
        <v/>
      </c>
      <c r="I315" s="70" t="str">
        <f t="shared" si="9"/>
        <v/>
      </c>
      <c r="J315" s="64"/>
      <c r="K315" s="64"/>
    </row>
    <row r="316" spans="1:11" x14ac:dyDescent="0.25">
      <c r="A316" s="65"/>
      <c r="B316" s="64"/>
      <c r="C316" s="64"/>
      <c r="D316" s="64"/>
      <c r="E316" s="64"/>
      <c r="F316" s="66"/>
      <c r="G316" s="67"/>
      <c r="H316" s="69" t="str">
        <f t="shared" si="8"/>
        <v/>
      </c>
      <c r="I316" s="70" t="str">
        <f t="shared" si="9"/>
        <v/>
      </c>
      <c r="J316" s="64"/>
      <c r="K316" s="64"/>
    </row>
    <row r="317" spans="1:11" x14ac:dyDescent="0.25">
      <c r="A317" s="65"/>
      <c r="B317" s="64"/>
      <c r="C317" s="64"/>
      <c r="D317" s="64"/>
      <c r="E317" s="64"/>
      <c r="F317" s="66"/>
      <c r="G317" s="67"/>
      <c r="H317" s="69" t="str">
        <f t="shared" si="8"/>
        <v/>
      </c>
      <c r="I317" s="70" t="str">
        <f t="shared" si="9"/>
        <v/>
      </c>
      <c r="J317" s="64"/>
      <c r="K317" s="64"/>
    </row>
    <row r="318" spans="1:11" x14ac:dyDescent="0.25">
      <c r="A318" s="65"/>
      <c r="B318" s="64"/>
      <c r="C318" s="64"/>
      <c r="D318" s="64"/>
      <c r="E318" s="64"/>
      <c r="F318" s="66"/>
      <c r="G318" s="67"/>
      <c r="H318" s="69" t="str">
        <f t="shared" si="8"/>
        <v/>
      </c>
      <c r="I318" s="70" t="str">
        <f t="shared" si="9"/>
        <v/>
      </c>
      <c r="J318" s="64"/>
      <c r="K318" s="64"/>
    </row>
    <row r="319" spans="1:11" x14ac:dyDescent="0.25">
      <c r="A319" s="65"/>
      <c r="B319" s="64"/>
      <c r="C319" s="64"/>
      <c r="D319" s="64"/>
      <c r="E319" s="64"/>
      <c r="F319" s="66"/>
      <c r="G319" s="67"/>
      <c r="H319" s="69" t="str">
        <f t="shared" si="8"/>
        <v/>
      </c>
      <c r="I319" s="70" t="str">
        <f t="shared" si="9"/>
        <v/>
      </c>
      <c r="J319" s="64"/>
      <c r="K319" s="64"/>
    </row>
    <row r="320" spans="1:11" x14ac:dyDescent="0.25">
      <c r="A320" s="65"/>
      <c r="B320" s="64"/>
      <c r="C320" s="64"/>
      <c r="D320" s="64"/>
      <c r="E320" s="64"/>
      <c r="F320" s="66"/>
      <c r="G320" s="67"/>
      <c r="H320" s="69" t="str">
        <f t="shared" si="8"/>
        <v/>
      </c>
      <c r="I320" s="70" t="str">
        <f t="shared" si="9"/>
        <v/>
      </c>
      <c r="J320" s="64"/>
      <c r="K320" s="64"/>
    </row>
    <row r="321" spans="1:11" x14ac:dyDescent="0.25">
      <c r="A321" s="65"/>
      <c r="B321" s="64"/>
      <c r="C321" s="64"/>
      <c r="D321" s="64"/>
      <c r="E321" s="64"/>
      <c r="F321" s="66"/>
      <c r="G321" s="67"/>
      <c r="H321" s="69" t="str">
        <f t="shared" si="8"/>
        <v/>
      </c>
      <c r="I321" s="70" t="str">
        <f t="shared" si="9"/>
        <v/>
      </c>
      <c r="J321" s="64"/>
      <c r="K321" s="64"/>
    </row>
    <row r="322" spans="1:11" x14ac:dyDescent="0.25">
      <c r="A322" s="65"/>
      <c r="B322" s="64"/>
      <c r="C322" s="64"/>
      <c r="D322" s="64"/>
      <c r="E322" s="64"/>
      <c r="F322" s="66"/>
      <c r="G322" s="67"/>
      <c r="H322" s="69" t="str">
        <f t="shared" si="8"/>
        <v/>
      </c>
      <c r="I322" s="70" t="str">
        <f t="shared" si="9"/>
        <v/>
      </c>
      <c r="J322" s="64"/>
      <c r="K322" s="64"/>
    </row>
    <row r="323" spans="1:11" x14ac:dyDescent="0.25">
      <c r="A323" s="65"/>
      <c r="B323" s="64"/>
      <c r="C323" s="64"/>
      <c r="D323" s="64"/>
      <c r="E323" s="64"/>
      <c r="F323" s="66"/>
      <c r="G323" s="67"/>
      <c r="H323" s="69" t="str">
        <f t="shared" ref="H323:H386" si="10">IFERROR(IF(F323="","",F323*G323),"")</f>
        <v/>
      </c>
      <c r="I323" s="70" t="str">
        <f t="shared" ref="I323:I386" si="11">IFERROR(IF(F323="","",F323+H323),"")</f>
        <v/>
      </c>
      <c r="J323" s="64"/>
      <c r="K323" s="64"/>
    </row>
    <row r="324" spans="1:11" x14ac:dyDescent="0.25">
      <c r="A324" s="65"/>
      <c r="B324" s="64"/>
      <c r="C324" s="64"/>
      <c r="D324" s="64"/>
      <c r="E324" s="64"/>
      <c r="F324" s="66"/>
      <c r="G324" s="67"/>
      <c r="H324" s="69" t="str">
        <f t="shared" si="10"/>
        <v/>
      </c>
      <c r="I324" s="70" t="str">
        <f t="shared" si="11"/>
        <v/>
      </c>
      <c r="J324" s="64"/>
      <c r="K324" s="64"/>
    </row>
    <row r="325" spans="1:11" x14ac:dyDescent="0.25">
      <c r="A325" s="65"/>
      <c r="B325" s="64"/>
      <c r="C325" s="64"/>
      <c r="D325" s="64"/>
      <c r="E325" s="64"/>
      <c r="F325" s="66"/>
      <c r="G325" s="67"/>
      <c r="H325" s="69" t="str">
        <f t="shared" si="10"/>
        <v/>
      </c>
      <c r="I325" s="70" t="str">
        <f t="shared" si="11"/>
        <v/>
      </c>
      <c r="J325" s="64"/>
      <c r="K325" s="64"/>
    </row>
    <row r="326" spans="1:11" x14ac:dyDescent="0.25">
      <c r="A326" s="65"/>
      <c r="B326" s="64"/>
      <c r="C326" s="64"/>
      <c r="D326" s="64"/>
      <c r="E326" s="64"/>
      <c r="F326" s="66"/>
      <c r="G326" s="67"/>
      <c r="H326" s="69" t="str">
        <f t="shared" si="10"/>
        <v/>
      </c>
      <c r="I326" s="70" t="str">
        <f t="shared" si="11"/>
        <v/>
      </c>
      <c r="J326" s="64"/>
      <c r="K326" s="64"/>
    </row>
    <row r="327" spans="1:11" x14ac:dyDescent="0.25">
      <c r="A327" s="65"/>
      <c r="B327" s="64"/>
      <c r="C327" s="64"/>
      <c r="D327" s="64"/>
      <c r="E327" s="64"/>
      <c r="F327" s="66"/>
      <c r="G327" s="67"/>
      <c r="H327" s="69" t="str">
        <f t="shared" si="10"/>
        <v/>
      </c>
      <c r="I327" s="70" t="str">
        <f t="shared" si="11"/>
        <v/>
      </c>
      <c r="J327" s="64"/>
      <c r="K327" s="64"/>
    </row>
    <row r="328" spans="1:11" x14ac:dyDescent="0.25">
      <c r="A328" s="65"/>
      <c r="B328" s="64"/>
      <c r="C328" s="64"/>
      <c r="D328" s="64"/>
      <c r="E328" s="64"/>
      <c r="F328" s="66"/>
      <c r="G328" s="67"/>
      <c r="H328" s="69" t="str">
        <f t="shared" si="10"/>
        <v/>
      </c>
      <c r="I328" s="70" t="str">
        <f t="shared" si="11"/>
        <v/>
      </c>
      <c r="J328" s="64"/>
      <c r="K328" s="64"/>
    </row>
    <row r="329" spans="1:11" x14ac:dyDescent="0.25">
      <c r="A329" s="65"/>
      <c r="B329" s="64"/>
      <c r="C329" s="64"/>
      <c r="D329" s="64"/>
      <c r="E329" s="64"/>
      <c r="F329" s="66"/>
      <c r="G329" s="67"/>
      <c r="H329" s="69" t="str">
        <f t="shared" si="10"/>
        <v/>
      </c>
      <c r="I329" s="70" t="str">
        <f t="shared" si="11"/>
        <v/>
      </c>
      <c r="J329" s="64"/>
      <c r="K329" s="64"/>
    </row>
    <row r="330" spans="1:11" x14ac:dyDescent="0.25">
      <c r="A330" s="65"/>
      <c r="B330" s="64"/>
      <c r="C330" s="64"/>
      <c r="D330" s="64"/>
      <c r="E330" s="64"/>
      <c r="F330" s="66"/>
      <c r="G330" s="67"/>
      <c r="H330" s="69" t="str">
        <f t="shared" si="10"/>
        <v/>
      </c>
      <c r="I330" s="70" t="str">
        <f t="shared" si="11"/>
        <v/>
      </c>
      <c r="J330" s="64"/>
      <c r="K330" s="64"/>
    </row>
    <row r="331" spans="1:11" x14ac:dyDescent="0.25">
      <c r="A331" s="65"/>
      <c r="B331" s="64"/>
      <c r="C331" s="64"/>
      <c r="D331" s="64"/>
      <c r="E331" s="64"/>
      <c r="F331" s="66"/>
      <c r="G331" s="67"/>
      <c r="H331" s="69" t="str">
        <f t="shared" si="10"/>
        <v/>
      </c>
      <c r="I331" s="70" t="str">
        <f t="shared" si="11"/>
        <v/>
      </c>
      <c r="J331" s="64"/>
      <c r="K331" s="64"/>
    </row>
    <row r="332" spans="1:11" x14ac:dyDescent="0.25">
      <c r="A332" s="65"/>
      <c r="B332" s="64"/>
      <c r="C332" s="64"/>
      <c r="D332" s="64"/>
      <c r="E332" s="64"/>
      <c r="F332" s="66"/>
      <c r="G332" s="67"/>
      <c r="H332" s="69" t="str">
        <f t="shared" si="10"/>
        <v/>
      </c>
      <c r="I332" s="70" t="str">
        <f t="shared" si="11"/>
        <v/>
      </c>
      <c r="J332" s="64"/>
      <c r="K332" s="64"/>
    </row>
    <row r="333" spans="1:11" x14ac:dyDescent="0.25">
      <c r="A333" s="65"/>
      <c r="B333" s="64"/>
      <c r="C333" s="64"/>
      <c r="D333" s="64"/>
      <c r="E333" s="64"/>
      <c r="F333" s="66"/>
      <c r="G333" s="67"/>
      <c r="H333" s="69" t="str">
        <f t="shared" si="10"/>
        <v/>
      </c>
      <c r="I333" s="70" t="str">
        <f t="shared" si="11"/>
        <v/>
      </c>
      <c r="J333" s="64"/>
      <c r="K333" s="64"/>
    </row>
    <row r="334" spans="1:11" x14ac:dyDescent="0.25">
      <c r="A334" s="65"/>
      <c r="B334" s="64"/>
      <c r="C334" s="64"/>
      <c r="D334" s="64"/>
      <c r="E334" s="64"/>
      <c r="F334" s="66"/>
      <c r="G334" s="67"/>
      <c r="H334" s="69" t="str">
        <f t="shared" si="10"/>
        <v/>
      </c>
      <c r="I334" s="70" t="str">
        <f t="shared" si="11"/>
        <v/>
      </c>
      <c r="J334" s="64"/>
      <c r="K334" s="64"/>
    </row>
    <row r="335" spans="1:11" x14ac:dyDescent="0.25">
      <c r="A335" s="65"/>
      <c r="B335" s="64"/>
      <c r="C335" s="64"/>
      <c r="D335" s="64"/>
      <c r="E335" s="64"/>
      <c r="F335" s="66"/>
      <c r="G335" s="67"/>
      <c r="H335" s="69" t="str">
        <f t="shared" si="10"/>
        <v/>
      </c>
      <c r="I335" s="70" t="str">
        <f t="shared" si="11"/>
        <v/>
      </c>
      <c r="J335" s="64"/>
      <c r="K335" s="64"/>
    </row>
    <row r="336" spans="1:11" x14ac:dyDescent="0.25">
      <c r="A336" s="65"/>
      <c r="B336" s="64"/>
      <c r="C336" s="64"/>
      <c r="D336" s="64"/>
      <c r="E336" s="64"/>
      <c r="F336" s="66"/>
      <c r="G336" s="67"/>
      <c r="H336" s="69" t="str">
        <f t="shared" si="10"/>
        <v/>
      </c>
      <c r="I336" s="70" t="str">
        <f t="shared" si="11"/>
        <v/>
      </c>
      <c r="J336" s="64"/>
      <c r="K336" s="64"/>
    </row>
    <row r="337" spans="1:11" x14ac:dyDescent="0.25">
      <c r="A337" s="65"/>
      <c r="B337" s="64"/>
      <c r="C337" s="64"/>
      <c r="D337" s="64"/>
      <c r="E337" s="64"/>
      <c r="F337" s="66"/>
      <c r="G337" s="67"/>
      <c r="H337" s="69" t="str">
        <f t="shared" si="10"/>
        <v/>
      </c>
      <c r="I337" s="70" t="str">
        <f t="shared" si="11"/>
        <v/>
      </c>
      <c r="J337" s="64"/>
      <c r="K337" s="64"/>
    </row>
    <row r="338" spans="1:11" x14ac:dyDescent="0.25">
      <c r="A338" s="65"/>
      <c r="B338" s="64"/>
      <c r="C338" s="64"/>
      <c r="D338" s="64"/>
      <c r="E338" s="64"/>
      <c r="F338" s="66"/>
      <c r="G338" s="67"/>
      <c r="H338" s="69" t="str">
        <f t="shared" si="10"/>
        <v/>
      </c>
      <c r="I338" s="70" t="str">
        <f t="shared" si="11"/>
        <v/>
      </c>
      <c r="J338" s="64"/>
      <c r="K338" s="64"/>
    </row>
    <row r="339" spans="1:11" x14ac:dyDescent="0.25">
      <c r="A339" s="65"/>
      <c r="B339" s="64"/>
      <c r="C339" s="64"/>
      <c r="D339" s="64"/>
      <c r="E339" s="64"/>
      <c r="F339" s="66"/>
      <c r="G339" s="67"/>
      <c r="H339" s="69" t="str">
        <f t="shared" si="10"/>
        <v/>
      </c>
      <c r="I339" s="70" t="str">
        <f t="shared" si="11"/>
        <v/>
      </c>
      <c r="J339" s="64"/>
      <c r="K339" s="64"/>
    </row>
    <row r="340" spans="1:11" x14ac:dyDescent="0.25">
      <c r="A340" s="65"/>
      <c r="B340" s="64"/>
      <c r="C340" s="64"/>
      <c r="D340" s="64"/>
      <c r="E340" s="64"/>
      <c r="F340" s="66"/>
      <c r="G340" s="67"/>
      <c r="H340" s="69" t="str">
        <f t="shared" si="10"/>
        <v/>
      </c>
      <c r="I340" s="70" t="str">
        <f t="shared" si="11"/>
        <v/>
      </c>
      <c r="J340" s="64"/>
      <c r="K340" s="64"/>
    </row>
    <row r="341" spans="1:11" x14ac:dyDescent="0.25">
      <c r="A341" s="65"/>
      <c r="B341" s="64"/>
      <c r="C341" s="64"/>
      <c r="D341" s="64"/>
      <c r="E341" s="64"/>
      <c r="F341" s="66"/>
      <c r="G341" s="67"/>
      <c r="H341" s="69" t="str">
        <f t="shared" si="10"/>
        <v/>
      </c>
      <c r="I341" s="70" t="str">
        <f t="shared" si="11"/>
        <v/>
      </c>
      <c r="J341" s="64"/>
      <c r="K341" s="64"/>
    </row>
    <row r="342" spans="1:11" x14ac:dyDescent="0.25">
      <c r="A342" s="65"/>
      <c r="B342" s="64"/>
      <c r="C342" s="64"/>
      <c r="D342" s="64"/>
      <c r="E342" s="64"/>
      <c r="F342" s="66"/>
      <c r="G342" s="67"/>
      <c r="H342" s="69" t="str">
        <f t="shared" si="10"/>
        <v/>
      </c>
      <c r="I342" s="70" t="str">
        <f t="shared" si="11"/>
        <v/>
      </c>
      <c r="J342" s="64"/>
      <c r="K342" s="64"/>
    </row>
    <row r="343" spans="1:11" x14ac:dyDescent="0.25">
      <c r="A343" s="65"/>
      <c r="B343" s="64"/>
      <c r="C343" s="64"/>
      <c r="D343" s="64"/>
      <c r="E343" s="64"/>
      <c r="F343" s="66"/>
      <c r="G343" s="67"/>
      <c r="H343" s="69" t="str">
        <f t="shared" si="10"/>
        <v/>
      </c>
      <c r="I343" s="70" t="str">
        <f t="shared" si="11"/>
        <v/>
      </c>
      <c r="J343" s="64"/>
      <c r="K343" s="64"/>
    </row>
    <row r="344" spans="1:11" x14ac:dyDescent="0.25">
      <c r="A344" s="65"/>
      <c r="B344" s="64"/>
      <c r="C344" s="64"/>
      <c r="D344" s="64"/>
      <c r="E344" s="64"/>
      <c r="F344" s="66"/>
      <c r="G344" s="67"/>
      <c r="H344" s="69" t="str">
        <f t="shared" si="10"/>
        <v/>
      </c>
      <c r="I344" s="70" t="str">
        <f t="shared" si="11"/>
        <v/>
      </c>
      <c r="J344" s="64"/>
      <c r="K344" s="64"/>
    </row>
    <row r="345" spans="1:11" x14ac:dyDescent="0.25">
      <c r="A345" s="65"/>
      <c r="B345" s="64"/>
      <c r="C345" s="64"/>
      <c r="D345" s="64"/>
      <c r="E345" s="64"/>
      <c r="F345" s="66"/>
      <c r="G345" s="67"/>
      <c r="H345" s="69" t="str">
        <f t="shared" si="10"/>
        <v/>
      </c>
      <c r="I345" s="70" t="str">
        <f t="shared" si="11"/>
        <v/>
      </c>
      <c r="J345" s="64"/>
      <c r="K345" s="64"/>
    </row>
    <row r="346" spans="1:11" x14ac:dyDescent="0.25">
      <c r="A346" s="65"/>
      <c r="B346" s="64"/>
      <c r="C346" s="64"/>
      <c r="D346" s="64"/>
      <c r="E346" s="64"/>
      <c r="F346" s="66"/>
      <c r="G346" s="67"/>
      <c r="H346" s="69" t="str">
        <f t="shared" si="10"/>
        <v/>
      </c>
      <c r="I346" s="70" t="str">
        <f t="shared" si="11"/>
        <v/>
      </c>
      <c r="J346" s="64"/>
      <c r="K346" s="64"/>
    </row>
    <row r="347" spans="1:11" x14ac:dyDescent="0.25">
      <c r="A347" s="65"/>
      <c r="B347" s="64"/>
      <c r="C347" s="64"/>
      <c r="D347" s="64"/>
      <c r="E347" s="64"/>
      <c r="F347" s="66"/>
      <c r="G347" s="67"/>
      <c r="H347" s="69" t="str">
        <f t="shared" si="10"/>
        <v/>
      </c>
      <c r="I347" s="70" t="str">
        <f t="shared" si="11"/>
        <v/>
      </c>
      <c r="J347" s="64"/>
      <c r="K347" s="64"/>
    </row>
    <row r="348" spans="1:11" x14ac:dyDescent="0.25">
      <c r="A348" s="65"/>
      <c r="B348" s="64"/>
      <c r="C348" s="64"/>
      <c r="D348" s="64"/>
      <c r="E348" s="64"/>
      <c r="F348" s="66"/>
      <c r="G348" s="67"/>
      <c r="H348" s="69" t="str">
        <f t="shared" si="10"/>
        <v/>
      </c>
      <c r="I348" s="70" t="str">
        <f t="shared" si="11"/>
        <v/>
      </c>
      <c r="J348" s="64"/>
      <c r="K348" s="64"/>
    </row>
    <row r="349" spans="1:11" x14ac:dyDescent="0.25">
      <c r="A349" s="65"/>
      <c r="B349" s="64"/>
      <c r="C349" s="64"/>
      <c r="D349" s="64"/>
      <c r="E349" s="64"/>
      <c r="F349" s="66"/>
      <c r="G349" s="67"/>
      <c r="H349" s="69" t="str">
        <f t="shared" si="10"/>
        <v/>
      </c>
      <c r="I349" s="70" t="str">
        <f t="shared" si="11"/>
        <v/>
      </c>
      <c r="J349" s="64"/>
      <c r="K349" s="64"/>
    </row>
    <row r="350" spans="1:11" x14ac:dyDescent="0.25">
      <c r="A350" s="65"/>
      <c r="B350" s="64"/>
      <c r="C350" s="64"/>
      <c r="D350" s="64"/>
      <c r="E350" s="64"/>
      <c r="F350" s="66"/>
      <c r="G350" s="67"/>
      <c r="H350" s="69" t="str">
        <f t="shared" si="10"/>
        <v/>
      </c>
      <c r="I350" s="70" t="str">
        <f t="shared" si="11"/>
        <v/>
      </c>
      <c r="J350" s="64"/>
      <c r="K350" s="64"/>
    </row>
    <row r="351" spans="1:11" x14ac:dyDescent="0.25">
      <c r="A351" s="65"/>
      <c r="B351" s="64"/>
      <c r="C351" s="64"/>
      <c r="D351" s="64"/>
      <c r="E351" s="64"/>
      <c r="F351" s="66"/>
      <c r="G351" s="67"/>
      <c r="H351" s="69" t="str">
        <f t="shared" si="10"/>
        <v/>
      </c>
      <c r="I351" s="70" t="str">
        <f t="shared" si="11"/>
        <v/>
      </c>
      <c r="J351" s="64"/>
      <c r="K351" s="64"/>
    </row>
    <row r="352" spans="1:11" x14ac:dyDescent="0.25">
      <c r="A352" s="65"/>
      <c r="B352" s="64"/>
      <c r="C352" s="64"/>
      <c r="D352" s="64"/>
      <c r="E352" s="64"/>
      <c r="F352" s="66"/>
      <c r="G352" s="67"/>
      <c r="H352" s="69" t="str">
        <f t="shared" si="10"/>
        <v/>
      </c>
      <c r="I352" s="70" t="str">
        <f t="shared" si="11"/>
        <v/>
      </c>
      <c r="J352" s="64"/>
      <c r="K352" s="64"/>
    </row>
    <row r="353" spans="1:11" x14ac:dyDescent="0.25">
      <c r="A353" s="65"/>
      <c r="B353" s="64"/>
      <c r="C353" s="64"/>
      <c r="D353" s="64"/>
      <c r="E353" s="64"/>
      <c r="F353" s="66"/>
      <c r="G353" s="67"/>
      <c r="H353" s="69" t="str">
        <f t="shared" si="10"/>
        <v/>
      </c>
      <c r="I353" s="70" t="str">
        <f t="shared" si="11"/>
        <v/>
      </c>
      <c r="J353" s="64"/>
      <c r="K353" s="64"/>
    </row>
    <row r="354" spans="1:11" x14ac:dyDescent="0.25">
      <c r="A354" s="65"/>
      <c r="B354" s="64"/>
      <c r="C354" s="64"/>
      <c r="D354" s="64"/>
      <c r="E354" s="64"/>
      <c r="F354" s="66"/>
      <c r="G354" s="67"/>
      <c r="H354" s="69" t="str">
        <f t="shared" si="10"/>
        <v/>
      </c>
      <c r="I354" s="70" t="str">
        <f t="shared" si="11"/>
        <v/>
      </c>
      <c r="J354" s="64"/>
      <c r="K354" s="64"/>
    </row>
    <row r="355" spans="1:11" x14ac:dyDescent="0.25">
      <c r="A355" s="65"/>
      <c r="B355" s="64"/>
      <c r="C355" s="64"/>
      <c r="D355" s="64"/>
      <c r="E355" s="64"/>
      <c r="F355" s="66"/>
      <c r="G355" s="67"/>
      <c r="H355" s="69" t="str">
        <f t="shared" si="10"/>
        <v/>
      </c>
      <c r="I355" s="70" t="str">
        <f t="shared" si="11"/>
        <v/>
      </c>
      <c r="J355" s="64"/>
      <c r="K355" s="64"/>
    </row>
    <row r="356" spans="1:11" x14ac:dyDescent="0.25">
      <c r="A356" s="65"/>
      <c r="B356" s="64"/>
      <c r="C356" s="64"/>
      <c r="D356" s="64"/>
      <c r="E356" s="64"/>
      <c r="F356" s="66"/>
      <c r="G356" s="67"/>
      <c r="H356" s="69" t="str">
        <f t="shared" si="10"/>
        <v/>
      </c>
      <c r="I356" s="70" t="str">
        <f t="shared" si="11"/>
        <v/>
      </c>
      <c r="J356" s="64"/>
      <c r="K356" s="64"/>
    </row>
    <row r="357" spans="1:11" x14ac:dyDescent="0.25">
      <c r="A357" s="65"/>
      <c r="B357" s="64"/>
      <c r="C357" s="64"/>
      <c r="D357" s="64"/>
      <c r="E357" s="64"/>
      <c r="F357" s="66"/>
      <c r="G357" s="67"/>
      <c r="H357" s="69" t="str">
        <f t="shared" si="10"/>
        <v/>
      </c>
      <c r="I357" s="70" t="str">
        <f t="shared" si="11"/>
        <v/>
      </c>
      <c r="J357" s="64"/>
      <c r="K357" s="64"/>
    </row>
    <row r="358" spans="1:11" x14ac:dyDescent="0.25">
      <c r="A358" s="65"/>
      <c r="B358" s="64"/>
      <c r="C358" s="64"/>
      <c r="D358" s="64"/>
      <c r="E358" s="64"/>
      <c r="F358" s="66"/>
      <c r="G358" s="67"/>
      <c r="H358" s="69" t="str">
        <f t="shared" si="10"/>
        <v/>
      </c>
      <c r="I358" s="70" t="str">
        <f t="shared" si="11"/>
        <v/>
      </c>
      <c r="J358" s="64"/>
      <c r="K358" s="64"/>
    </row>
    <row r="359" spans="1:11" x14ac:dyDescent="0.25">
      <c r="A359" s="65"/>
      <c r="B359" s="64"/>
      <c r="C359" s="64"/>
      <c r="D359" s="64"/>
      <c r="E359" s="64"/>
      <c r="F359" s="66"/>
      <c r="G359" s="67"/>
      <c r="H359" s="69" t="str">
        <f t="shared" si="10"/>
        <v/>
      </c>
      <c r="I359" s="70" t="str">
        <f t="shared" si="11"/>
        <v/>
      </c>
      <c r="J359" s="64"/>
      <c r="K359" s="64"/>
    </row>
    <row r="360" spans="1:11" x14ac:dyDescent="0.25">
      <c r="A360" s="65"/>
      <c r="B360" s="64"/>
      <c r="C360" s="64"/>
      <c r="D360" s="64"/>
      <c r="E360" s="64"/>
      <c r="F360" s="66"/>
      <c r="G360" s="67"/>
      <c r="H360" s="69" t="str">
        <f t="shared" si="10"/>
        <v/>
      </c>
      <c r="I360" s="70" t="str">
        <f t="shared" si="11"/>
        <v/>
      </c>
      <c r="J360" s="64"/>
      <c r="K360" s="64"/>
    </row>
    <row r="361" spans="1:11" x14ac:dyDescent="0.25">
      <c r="A361" s="65"/>
      <c r="B361" s="64"/>
      <c r="C361" s="64"/>
      <c r="D361" s="64"/>
      <c r="E361" s="64"/>
      <c r="F361" s="66"/>
      <c r="G361" s="67"/>
      <c r="H361" s="69" t="str">
        <f t="shared" si="10"/>
        <v/>
      </c>
      <c r="I361" s="70" t="str">
        <f t="shared" si="11"/>
        <v/>
      </c>
      <c r="J361" s="64"/>
      <c r="K361" s="64"/>
    </row>
    <row r="362" spans="1:11" x14ac:dyDescent="0.25">
      <c r="A362" s="65"/>
      <c r="B362" s="64"/>
      <c r="C362" s="64"/>
      <c r="D362" s="64"/>
      <c r="E362" s="64"/>
      <c r="F362" s="66"/>
      <c r="G362" s="67"/>
      <c r="H362" s="69" t="str">
        <f t="shared" si="10"/>
        <v/>
      </c>
      <c r="I362" s="70" t="str">
        <f t="shared" si="11"/>
        <v/>
      </c>
      <c r="J362" s="64"/>
      <c r="K362" s="64"/>
    </row>
    <row r="363" spans="1:11" x14ac:dyDescent="0.25">
      <c r="A363" s="65"/>
      <c r="B363" s="64"/>
      <c r="C363" s="64"/>
      <c r="D363" s="64"/>
      <c r="E363" s="64"/>
      <c r="F363" s="66"/>
      <c r="G363" s="67"/>
      <c r="H363" s="69" t="str">
        <f t="shared" si="10"/>
        <v/>
      </c>
      <c r="I363" s="70" t="str">
        <f t="shared" si="11"/>
        <v/>
      </c>
      <c r="J363" s="64"/>
      <c r="K363" s="64"/>
    </row>
    <row r="364" spans="1:11" x14ac:dyDescent="0.25">
      <c r="A364" s="65"/>
      <c r="B364" s="64"/>
      <c r="C364" s="64"/>
      <c r="D364" s="64"/>
      <c r="E364" s="64"/>
      <c r="F364" s="66"/>
      <c r="G364" s="67"/>
      <c r="H364" s="69" t="str">
        <f t="shared" si="10"/>
        <v/>
      </c>
      <c r="I364" s="70" t="str">
        <f t="shared" si="11"/>
        <v/>
      </c>
      <c r="J364" s="64"/>
      <c r="K364" s="64"/>
    </row>
    <row r="365" spans="1:11" x14ac:dyDescent="0.25">
      <c r="A365" s="65"/>
      <c r="B365" s="64"/>
      <c r="C365" s="64"/>
      <c r="D365" s="64"/>
      <c r="E365" s="64"/>
      <c r="F365" s="66"/>
      <c r="G365" s="67"/>
      <c r="H365" s="69" t="str">
        <f t="shared" si="10"/>
        <v/>
      </c>
      <c r="I365" s="70" t="str">
        <f t="shared" si="11"/>
        <v/>
      </c>
      <c r="J365" s="64"/>
      <c r="K365" s="64"/>
    </row>
    <row r="366" spans="1:11" x14ac:dyDescent="0.25">
      <c r="A366" s="65"/>
      <c r="B366" s="64"/>
      <c r="C366" s="64"/>
      <c r="D366" s="64"/>
      <c r="E366" s="64"/>
      <c r="F366" s="66"/>
      <c r="G366" s="67"/>
      <c r="H366" s="69" t="str">
        <f t="shared" si="10"/>
        <v/>
      </c>
      <c r="I366" s="70" t="str">
        <f t="shared" si="11"/>
        <v/>
      </c>
      <c r="J366" s="64"/>
      <c r="K366" s="64"/>
    </row>
    <row r="367" spans="1:11" x14ac:dyDescent="0.25">
      <c r="A367" s="65"/>
      <c r="B367" s="64"/>
      <c r="C367" s="64"/>
      <c r="D367" s="64"/>
      <c r="E367" s="64"/>
      <c r="F367" s="66"/>
      <c r="G367" s="67"/>
      <c r="H367" s="69" t="str">
        <f t="shared" si="10"/>
        <v/>
      </c>
      <c r="I367" s="70" t="str">
        <f t="shared" si="11"/>
        <v/>
      </c>
      <c r="J367" s="64"/>
      <c r="K367" s="64"/>
    </row>
    <row r="368" spans="1:11" x14ac:dyDescent="0.25">
      <c r="A368" s="65"/>
      <c r="B368" s="64"/>
      <c r="C368" s="64"/>
      <c r="D368" s="64"/>
      <c r="E368" s="64"/>
      <c r="F368" s="66"/>
      <c r="G368" s="67"/>
      <c r="H368" s="69" t="str">
        <f t="shared" si="10"/>
        <v/>
      </c>
      <c r="I368" s="70" t="str">
        <f t="shared" si="11"/>
        <v/>
      </c>
      <c r="J368" s="64"/>
      <c r="K368" s="64"/>
    </row>
    <row r="369" spans="1:11" x14ac:dyDescent="0.25">
      <c r="A369" s="65"/>
      <c r="B369" s="64"/>
      <c r="C369" s="64"/>
      <c r="D369" s="64"/>
      <c r="E369" s="64"/>
      <c r="F369" s="66"/>
      <c r="G369" s="67"/>
      <c r="H369" s="69" t="str">
        <f t="shared" si="10"/>
        <v/>
      </c>
      <c r="I369" s="70" t="str">
        <f t="shared" si="11"/>
        <v/>
      </c>
      <c r="J369" s="64"/>
      <c r="K369" s="64"/>
    </row>
    <row r="370" spans="1:11" x14ac:dyDescent="0.25">
      <c r="A370" s="65"/>
      <c r="B370" s="64"/>
      <c r="C370" s="64"/>
      <c r="D370" s="64"/>
      <c r="E370" s="64"/>
      <c r="F370" s="66"/>
      <c r="G370" s="67"/>
      <c r="H370" s="69" t="str">
        <f t="shared" si="10"/>
        <v/>
      </c>
      <c r="I370" s="70" t="str">
        <f t="shared" si="11"/>
        <v/>
      </c>
      <c r="J370" s="64"/>
      <c r="K370" s="64"/>
    </row>
    <row r="371" spans="1:11" x14ac:dyDescent="0.25">
      <c r="A371" s="65"/>
      <c r="B371" s="64"/>
      <c r="C371" s="64"/>
      <c r="D371" s="64"/>
      <c r="E371" s="64"/>
      <c r="F371" s="66"/>
      <c r="G371" s="67"/>
      <c r="H371" s="69" t="str">
        <f t="shared" si="10"/>
        <v/>
      </c>
      <c r="I371" s="70" t="str">
        <f t="shared" si="11"/>
        <v/>
      </c>
      <c r="J371" s="64"/>
      <c r="K371" s="64"/>
    </row>
    <row r="372" spans="1:11" x14ac:dyDescent="0.25">
      <c r="A372" s="65"/>
      <c r="B372" s="64"/>
      <c r="C372" s="64"/>
      <c r="D372" s="64"/>
      <c r="E372" s="64"/>
      <c r="F372" s="66"/>
      <c r="G372" s="67"/>
      <c r="H372" s="69" t="str">
        <f t="shared" si="10"/>
        <v/>
      </c>
      <c r="I372" s="70" t="str">
        <f t="shared" si="11"/>
        <v/>
      </c>
      <c r="J372" s="64"/>
      <c r="K372" s="64"/>
    </row>
    <row r="373" spans="1:11" x14ac:dyDescent="0.25">
      <c r="A373" s="65"/>
      <c r="B373" s="64"/>
      <c r="C373" s="64"/>
      <c r="D373" s="64"/>
      <c r="E373" s="64"/>
      <c r="F373" s="66"/>
      <c r="G373" s="67"/>
      <c r="H373" s="69" t="str">
        <f t="shared" si="10"/>
        <v/>
      </c>
      <c r="I373" s="70" t="str">
        <f t="shared" si="11"/>
        <v/>
      </c>
      <c r="J373" s="64"/>
      <c r="K373" s="64"/>
    </row>
    <row r="374" spans="1:11" x14ac:dyDescent="0.25">
      <c r="A374" s="65"/>
      <c r="B374" s="64"/>
      <c r="C374" s="64"/>
      <c r="D374" s="64"/>
      <c r="E374" s="64"/>
      <c r="F374" s="66"/>
      <c r="G374" s="67"/>
      <c r="H374" s="69" t="str">
        <f t="shared" si="10"/>
        <v/>
      </c>
      <c r="I374" s="70" t="str">
        <f t="shared" si="11"/>
        <v/>
      </c>
      <c r="J374" s="64"/>
      <c r="K374" s="64"/>
    </row>
    <row r="375" spans="1:11" x14ac:dyDescent="0.25">
      <c r="A375" s="65"/>
      <c r="B375" s="64"/>
      <c r="C375" s="64"/>
      <c r="D375" s="64"/>
      <c r="E375" s="64"/>
      <c r="F375" s="66"/>
      <c r="G375" s="67"/>
      <c r="H375" s="69" t="str">
        <f t="shared" si="10"/>
        <v/>
      </c>
      <c r="I375" s="70" t="str">
        <f t="shared" si="11"/>
        <v/>
      </c>
      <c r="J375" s="64"/>
      <c r="K375" s="64"/>
    </row>
    <row r="376" spans="1:11" x14ac:dyDescent="0.25">
      <c r="A376" s="65"/>
      <c r="B376" s="64"/>
      <c r="C376" s="64"/>
      <c r="D376" s="64"/>
      <c r="E376" s="64"/>
      <c r="F376" s="66"/>
      <c r="G376" s="67"/>
      <c r="H376" s="69" t="str">
        <f t="shared" si="10"/>
        <v/>
      </c>
      <c r="I376" s="70" t="str">
        <f t="shared" si="11"/>
        <v/>
      </c>
      <c r="J376" s="64"/>
      <c r="K376" s="64"/>
    </row>
    <row r="377" spans="1:11" x14ac:dyDescent="0.25">
      <c r="A377" s="65"/>
      <c r="B377" s="64"/>
      <c r="C377" s="64"/>
      <c r="D377" s="64"/>
      <c r="E377" s="64"/>
      <c r="F377" s="66"/>
      <c r="G377" s="67"/>
      <c r="H377" s="69" t="str">
        <f t="shared" si="10"/>
        <v/>
      </c>
      <c r="I377" s="70" t="str">
        <f t="shared" si="11"/>
        <v/>
      </c>
      <c r="J377" s="64"/>
      <c r="K377" s="64"/>
    </row>
    <row r="378" spans="1:11" x14ac:dyDescent="0.25">
      <c r="A378" s="65"/>
      <c r="B378" s="64"/>
      <c r="C378" s="64"/>
      <c r="D378" s="64"/>
      <c r="E378" s="64"/>
      <c r="F378" s="66"/>
      <c r="G378" s="67"/>
      <c r="H378" s="69" t="str">
        <f t="shared" si="10"/>
        <v/>
      </c>
      <c r="I378" s="70" t="str">
        <f t="shared" si="11"/>
        <v/>
      </c>
      <c r="J378" s="64"/>
      <c r="K378" s="64"/>
    </row>
    <row r="379" spans="1:11" x14ac:dyDescent="0.25">
      <c r="A379" s="65"/>
      <c r="B379" s="64"/>
      <c r="C379" s="64"/>
      <c r="D379" s="64"/>
      <c r="E379" s="64"/>
      <c r="F379" s="66"/>
      <c r="G379" s="67"/>
      <c r="H379" s="69" t="str">
        <f t="shared" si="10"/>
        <v/>
      </c>
      <c r="I379" s="70" t="str">
        <f t="shared" si="11"/>
        <v/>
      </c>
      <c r="J379" s="64"/>
      <c r="K379" s="64"/>
    </row>
    <row r="380" spans="1:11" x14ac:dyDescent="0.25">
      <c r="A380" s="65"/>
      <c r="B380" s="64"/>
      <c r="C380" s="64"/>
      <c r="D380" s="64"/>
      <c r="E380" s="64"/>
      <c r="F380" s="66"/>
      <c r="G380" s="67"/>
      <c r="H380" s="69" t="str">
        <f t="shared" si="10"/>
        <v/>
      </c>
      <c r="I380" s="70" t="str">
        <f t="shared" si="11"/>
        <v/>
      </c>
      <c r="J380" s="64"/>
      <c r="K380" s="64"/>
    </row>
    <row r="381" spans="1:11" x14ac:dyDescent="0.25">
      <c r="A381" s="65"/>
      <c r="B381" s="64"/>
      <c r="C381" s="64"/>
      <c r="D381" s="64"/>
      <c r="E381" s="64"/>
      <c r="F381" s="66"/>
      <c r="G381" s="67"/>
      <c r="H381" s="69" t="str">
        <f t="shared" si="10"/>
        <v/>
      </c>
      <c r="I381" s="70" t="str">
        <f t="shared" si="11"/>
        <v/>
      </c>
      <c r="J381" s="64"/>
      <c r="K381" s="64"/>
    </row>
    <row r="382" spans="1:11" x14ac:dyDescent="0.25">
      <c r="A382" s="65"/>
      <c r="B382" s="64"/>
      <c r="C382" s="64"/>
      <c r="D382" s="64"/>
      <c r="E382" s="64"/>
      <c r="F382" s="66"/>
      <c r="G382" s="67"/>
      <c r="H382" s="69" t="str">
        <f t="shared" si="10"/>
        <v/>
      </c>
      <c r="I382" s="70" t="str">
        <f t="shared" si="11"/>
        <v/>
      </c>
      <c r="J382" s="64"/>
      <c r="K382" s="64"/>
    </row>
    <row r="383" spans="1:11" x14ac:dyDescent="0.25">
      <c r="A383" s="65"/>
      <c r="B383" s="64"/>
      <c r="C383" s="64"/>
      <c r="D383" s="64"/>
      <c r="E383" s="64"/>
      <c r="F383" s="66"/>
      <c r="G383" s="67"/>
      <c r="H383" s="69" t="str">
        <f t="shared" si="10"/>
        <v/>
      </c>
      <c r="I383" s="70" t="str">
        <f t="shared" si="11"/>
        <v/>
      </c>
      <c r="J383" s="64"/>
      <c r="K383" s="64"/>
    </row>
    <row r="384" spans="1:11" x14ac:dyDescent="0.25">
      <c r="A384" s="65"/>
      <c r="B384" s="64"/>
      <c r="C384" s="64"/>
      <c r="D384" s="64"/>
      <c r="E384" s="64"/>
      <c r="F384" s="66"/>
      <c r="G384" s="67"/>
      <c r="H384" s="69" t="str">
        <f t="shared" si="10"/>
        <v/>
      </c>
      <c r="I384" s="70" t="str">
        <f t="shared" si="11"/>
        <v/>
      </c>
      <c r="J384" s="64"/>
      <c r="K384" s="64"/>
    </row>
    <row r="385" spans="1:11" x14ac:dyDescent="0.25">
      <c r="A385" s="65"/>
      <c r="B385" s="64"/>
      <c r="C385" s="64"/>
      <c r="D385" s="64"/>
      <c r="E385" s="64"/>
      <c r="F385" s="66"/>
      <c r="G385" s="67"/>
      <c r="H385" s="69" t="str">
        <f t="shared" si="10"/>
        <v/>
      </c>
      <c r="I385" s="70" t="str">
        <f t="shared" si="11"/>
        <v/>
      </c>
      <c r="J385" s="64"/>
      <c r="K385" s="64"/>
    </row>
    <row r="386" spans="1:11" x14ac:dyDescent="0.25">
      <c r="A386" s="65"/>
      <c r="B386" s="64"/>
      <c r="C386" s="64"/>
      <c r="D386" s="64"/>
      <c r="E386" s="64"/>
      <c r="F386" s="66"/>
      <c r="G386" s="67"/>
      <c r="H386" s="69" t="str">
        <f t="shared" si="10"/>
        <v/>
      </c>
      <c r="I386" s="70" t="str">
        <f t="shared" si="11"/>
        <v/>
      </c>
      <c r="J386" s="64"/>
      <c r="K386" s="64"/>
    </row>
    <row r="387" spans="1:11" x14ac:dyDescent="0.25">
      <c r="A387" s="65"/>
      <c r="B387" s="64"/>
      <c r="C387" s="64"/>
      <c r="D387" s="64"/>
      <c r="E387" s="64"/>
      <c r="F387" s="66"/>
      <c r="G387" s="67"/>
      <c r="H387" s="69" t="str">
        <f t="shared" ref="H387:H450" si="12">IFERROR(IF(F387="","",F387*G387),"")</f>
        <v/>
      </c>
      <c r="I387" s="70" t="str">
        <f t="shared" ref="I387:I450" si="13">IFERROR(IF(F387="","",F387+H387),"")</f>
        <v/>
      </c>
      <c r="J387" s="64"/>
      <c r="K387" s="64"/>
    </row>
    <row r="388" spans="1:11" x14ac:dyDescent="0.25">
      <c r="A388" s="65"/>
      <c r="B388" s="64"/>
      <c r="C388" s="64"/>
      <c r="D388" s="64"/>
      <c r="E388" s="64"/>
      <c r="F388" s="66"/>
      <c r="G388" s="67"/>
      <c r="H388" s="69" t="str">
        <f t="shared" si="12"/>
        <v/>
      </c>
      <c r="I388" s="70" t="str">
        <f t="shared" si="13"/>
        <v/>
      </c>
      <c r="J388" s="64"/>
      <c r="K388" s="64"/>
    </row>
    <row r="389" spans="1:11" x14ac:dyDescent="0.25">
      <c r="A389" s="65"/>
      <c r="B389" s="64"/>
      <c r="C389" s="64"/>
      <c r="D389" s="64"/>
      <c r="E389" s="64"/>
      <c r="F389" s="66"/>
      <c r="G389" s="67"/>
      <c r="H389" s="69" t="str">
        <f t="shared" si="12"/>
        <v/>
      </c>
      <c r="I389" s="70" t="str">
        <f t="shared" si="13"/>
        <v/>
      </c>
      <c r="J389" s="64"/>
      <c r="K389" s="64"/>
    </row>
    <row r="390" spans="1:11" x14ac:dyDescent="0.25">
      <c r="A390" s="65"/>
      <c r="B390" s="64"/>
      <c r="C390" s="64"/>
      <c r="D390" s="64"/>
      <c r="E390" s="64"/>
      <c r="F390" s="66"/>
      <c r="G390" s="67"/>
      <c r="H390" s="69" t="str">
        <f t="shared" si="12"/>
        <v/>
      </c>
      <c r="I390" s="70" t="str">
        <f t="shared" si="13"/>
        <v/>
      </c>
      <c r="J390" s="64"/>
      <c r="K390" s="64"/>
    </row>
    <row r="391" spans="1:11" x14ac:dyDescent="0.25">
      <c r="A391" s="65"/>
      <c r="B391" s="64"/>
      <c r="C391" s="64"/>
      <c r="D391" s="64"/>
      <c r="E391" s="64"/>
      <c r="F391" s="66"/>
      <c r="G391" s="67"/>
      <c r="H391" s="69" t="str">
        <f t="shared" si="12"/>
        <v/>
      </c>
      <c r="I391" s="70" t="str">
        <f t="shared" si="13"/>
        <v/>
      </c>
      <c r="J391" s="64"/>
      <c r="K391" s="64"/>
    </row>
    <row r="392" spans="1:11" x14ac:dyDescent="0.25">
      <c r="A392" s="65"/>
      <c r="B392" s="64"/>
      <c r="C392" s="64"/>
      <c r="D392" s="64"/>
      <c r="E392" s="64"/>
      <c r="F392" s="66"/>
      <c r="G392" s="67"/>
      <c r="H392" s="69" t="str">
        <f t="shared" si="12"/>
        <v/>
      </c>
      <c r="I392" s="70" t="str">
        <f t="shared" si="13"/>
        <v/>
      </c>
      <c r="J392" s="64"/>
      <c r="K392" s="64"/>
    </row>
    <row r="393" spans="1:11" x14ac:dyDescent="0.25">
      <c r="A393" s="65"/>
      <c r="B393" s="64"/>
      <c r="C393" s="64"/>
      <c r="D393" s="64"/>
      <c r="E393" s="64"/>
      <c r="F393" s="66"/>
      <c r="G393" s="67"/>
      <c r="H393" s="69" t="str">
        <f t="shared" si="12"/>
        <v/>
      </c>
      <c r="I393" s="70" t="str">
        <f t="shared" si="13"/>
        <v/>
      </c>
      <c r="J393" s="64"/>
      <c r="K393" s="64"/>
    </row>
    <row r="394" spans="1:11" x14ac:dyDescent="0.25">
      <c r="A394" s="65"/>
      <c r="B394" s="64"/>
      <c r="C394" s="64"/>
      <c r="D394" s="64"/>
      <c r="E394" s="64"/>
      <c r="F394" s="66"/>
      <c r="G394" s="67"/>
      <c r="H394" s="69" t="str">
        <f t="shared" si="12"/>
        <v/>
      </c>
      <c r="I394" s="70" t="str">
        <f t="shared" si="13"/>
        <v/>
      </c>
      <c r="J394" s="64"/>
      <c r="K394" s="64"/>
    </row>
    <row r="395" spans="1:11" x14ac:dyDescent="0.25">
      <c r="A395" s="65"/>
      <c r="B395" s="64"/>
      <c r="C395" s="64"/>
      <c r="D395" s="64"/>
      <c r="E395" s="64"/>
      <c r="F395" s="66"/>
      <c r="G395" s="67"/>
      <c r="H395" s="69" t="str">
        <f t="shared" si="12"/>
        <v/>
      </c>
      <c r="I395" s="70" t="str">
        <f t="shared" si="13"/>
        <v/>
      </c>
      <c r="J395" s="64"/>
      <c r="K395" s="64"/>
    </row>
    <row r="396" spans="1:11" x14ac:dyDescent="0.25">
      <c r="A396" s="65"/>
      <c r="B396" s="64"/>
      <c r="C396" s="64"/>
      <c r="D396" s="64"/>
      <c r="E396" s="64"/>
      <c r="F396" s="66"/>
      <c r="G396" s="67"/>
      <c r="H396" s="69" t="str">
        <f t="shared" si="12"/>
        <v/>
      </c>
      <c r="I396" s="70" t="str">
        <f t="shared" si="13"/>
        <v/>
      </c>
      <c r="J396" s="64"/>
      <c r="K396" s="64"/>
    </row>
    <row r="397" spans="1:11" x14ac:dyDescent="0.25">
      <c r="A397" s="65"/>
      <c r="B397" s="64"/>
      <c r="C397" s="64"/>
      <c r="D397" s="64"/>
      <c r="E397" s="64"/>
      <c r="F397" s="66"/>
      <c r="G397" s="67"/>
      <c r="H397" s="69" t="str">
        <f t="shared" si="12"/>
        <v/>
      </c>
      <c r="I397" s="70" t="str">
        <f t="shared" si="13"/>
        <v/>
      </c>
      <c r="J397" s="64"/>
      <c r="K397" s="64"/>
    </row>
    <row r="398" spans="1:11" x14ac:dyDescent="0.25">
      <c r="A398" s="65"/>
      <c r="B398" s="64"/>
      <c r="C398" s="64"/>
      <c r="D398" s="64"/>
      <c r="E398" s="64"/>
      <c r="F398" s="66"/>
      <c r="G398" s="67"/>
      <c r="H398" s="69" t="str">
        <f t="shared" si="12"/>
        <v/>
      </c>
      <c r="I398" s="70" t="str">
        <f t="shared" si="13"/>
        <v/>
      </c>
      <c r="J398" s="64"/>
      <c r="K398" s="64"/>
    </row>
    <row r="399" spans="1:11" x14ac:dyDescent="0.25">
      <c r="A399" s="65"/>
      <c r="B399" s="64"/>
      <c r="C399" s="64"/>
      <c r="D399" s="64"/>
      <c r="E399" s="64"/>
      <c r="F399" s="66"/>
      <c r="G399" s="67"/>
      <c r="H399" s="69" t="str">
        <f t="shared" si="12"/>
        <v/>
      </c>
      <c r="I399" s="70" t="str">
        <f t="shared" si="13"/>
        <v/>
      </c>
      <c r="J399" s="64"/>
      <c r="K399" s="64"/>
    </row>
    <row r="400" spans="1:11" x14ac:dyDescent="0.25">
      <c r="A400" s="65"/>
      <c r="B400" s="64"/>
      <c r="C400" s="64"/>
      <c r="D400" s="64"/>
      <c r="E400" s="64"/>
      <c r="F400" s="66"/>
      <c r="G400" s="67"/>
      <c r="H400" s="69" t="str">
        <f t="shared" si="12"/>
        <v/>
      </c>
      <c r="I400" s="70" t="str">
        <f t="shared" si="13"/>
        <v/>
      </c>
      <c r="J400" s="64"/>
      <c r="K400" s="64"/>
    </row>
    <row r="401" spans="1:11" x14ac:dyDescent="0.25">
      <c r="A401" s="65"/>
      <c r="B401" s="64"/>
      <c r="C401" s="64"/>
      <c r="D401" s="64"/>
      <c r="E401" s="64"/>
      <c r="F401" s="66"/>
      <c r="G401" s="67"/>
      <c r="H401" s="69" t="str">
        <f t="shared" si="12"/>
        <v/>
      </c>
      <c r="I401" s="70" t="str">
        <f t="shared" si="13"/>
        <v/>
      </c>
      <c r="J401" s="64"/>
      <c r="K401" s="64"/>
    </row>
    <row r="402" spans="1:11" x14ac:dyDescent="0.25">
      <c r="A402" s="65"/>
      <c r="B402" s="64"/>
      <c r="C402" s="64"/>
      <c r="D402" s="64"/>
      <c r="E402" s="64"/>
      <c r="F402" s="66"/>
      <c r="G402" s="67"/>
      <c r="H402" s="69" t="str">
        <f t="shared" si="12"/>
        <v/>
      </c>
      <c r="I402" s="70" t="str">
        <f t="shared" si="13"/>
        <v/>
      </c>
      <c r="J402" s="64"/>
      <c r="K402" s="64"/>
    </row>
    <row r="403" spans="1:11" x14ac:dyDescent="0.25">
      <c r="A403" s="65"/>
      <c r="B403" s="64"/>
      <c r="C403" s="64"/>
      <c r="D403" s="64"/>
      <c r="E403" s="64"/>
      <c r="F403" s="66"/>
      <c r="G403" s="67"/>
      <c r="H403" s="69" t="str">
        <f t="shared" si="12"/>
        <v/>
      </c>
      <c r="I403" s="70" t="str">
        <f t="shared" si="13"/>
        <v/>
      </c>
      <c r="J403" s="64"/>
      <c r="K403" s="64"/>
    </row>
    <row r="404" spans="1:11" x14ac:dyDescent="0.25">
      <c r="A404" s="65"/>
      <c r="B404" s="64"/>
      <c r="C404" s="64"/>
      <c r="D404" s="64"/>
      <c r="E404" s="64"/>
      <c r="F404" s="66"/>
      <c r="G404" s="67"/>
      <c r="H404" s="69" t="str">
        <f t="shared" si="12"/>
        <v/>
      </c>
      <c r="I404" s="70" t="str">
        <f t="shared" si="13"/>
        <v/>
      </c>
      <c r="J404" s="64"/>
      <c r="K404" s="64"/>
    </row>
    <row r="405" spans="1:11" x14ac:dyDescent="0.25">
      <c r="A405" s="65"/>
      <c r="B405" s="64"/>
      <c r="C405" s="64"/>
      <c r="D405" s="64"/>
      <c r="E405" s="64"/>
      <c r="F405" s="66"/>
      <c r="G405" s="67"/>
      <c r="H405" s="69" t="str">
        <f t="shared" si="12"/>
        <v/>
      </c>
      <c r="I405" s="70" t="str">
        <f t="shared" si="13"/>
        <v/>
      </c>
      <c r="J405" s="64"/>
      <c r="K405" s="64"/>
    </row>
    <row r="406" spans="1:11" x14ac:dyDescent="0.25">
      <c r="A406" s="65"/>
      <c r="B406" s="64"/>
      <c r="C406" s="64"/>
      <c r="D406" s="64"/>
      <c r="E406" s="64"/>
      <c r="F406" s="66"/>
      <c r="G406" s="67"/>
      <c r="H406" s="69" t="str">
        <f t="shared" si="12"/>
        <v/>
      </c>
      <c r="I406" s="70" t="str">
        <f t="shared" si="13"/>
        <v/>
      </c>
      <c r="J406" s="64"/>
      <c r="K406" s="64"/>
    </row>
    <row r="407" spans="1:11" x14ac:dyDescent="0.25">
      <c r="A407" s="65"/>
      <c r="B407" s="64"/>
      <c r="C407" s="64"/>
      <c r="D407" s="64"/>
      <c r="E407" s="64"/>
      <c r="F407" s="66"/>
      <c r="G407" s="67"/>
      <c r="H407" s="69" t="str">
        <f t="shared" si="12"/>
        <v/>
      </c>
      <c r="I407" s="70" t="str">
        <f t="shared" si="13"/>
        <v/>
      </c>
      <c r="J407" s="64"/>
      <c r="K407" s="64"/>
    </row>
    <row r="408" spans="1:11" x14ac:dyDescent="0.25">
      <c r="A408" s="65"/>
      <c r="B408" s="64"/>
      <c r="C408" s="64"/>
      <c r="D408" s="64"/>
      <c r="E408" s="64"/>
      <c r="F408" s="66"/>
      <c r="G408" s="67"/>
      <c r="H408" s="69" t="str">
        <f t="shared" si="12"/>
        <v/>
      </c>
      <c r="I408" s="70" t="str">
        <f t="shared" si="13"/>
        <v/>
      </c>
      <c r="J408" s="64"/>
      <c r="K408" s="64"/>
    </row>
    <row r="409" spans="1:11" x14ac:dyDescent="0.25">
      <c r="A409" s="65"/>
      <c r="B409" s="64"/>
      <c r="C409" s="64"/>
      <c r="D409" s="64"/>
      <c r="E409" s="64"/>
      <c r="F409" s="66"/>
      <c r="G409" s="67"/>
      <c r="H409" s="69" t="str">
        <f t="shared" si="12"/>
        <v/>
      </c>
      <c r="I409" s="70" t="str">
        <f t="shared" si="13"/>
        <v/>
      </c>
      <c r="J409" s="64"/>
      <c r="K409" s="64"/>
    </row>
    <row r="410" spans="1:11" x14ac:dyDescent="0.25">
      <c r="A410" s="65"/>
      <c r="B410" s="64"/>
      <c r="C410" s="64"/>
      <c r="D410" s="64"/>
      <c r="E410" s="64"/>
      <c r="F410" s="66"/>
      <c r="G410" s="67"/>
      <c r="H410" s="69" t="str">
        <f t="shared" si="12"/>
        <v/>
      </c>
      <c r="I410" s="70" t="str">
        <f t="shared" si="13"/>
        <v/>
      </c>
      <c r="J410" s="64"/>
      <c r="K410" s="64"/>
    </row>
    <row r="411" spans="1:11" x14ac:dyDescent="0.25">
      <c r="A411" s="65"/>
      <c r="B411" s="64"/>
      <c r="C411" s="64"/>
      <c r="D411" s="64"/>
      <c r="E411" s="64"/>
      <c r="F411" s="66"/>
      <c r="G411" s="67"/>
      <c r="H411" s="69" t="str">
        <f t="shared" si="12"/>
        <v/>
      </c>
      <c r="I411" s="70" t="str">
        <f t="shared" si="13"/>
        <v/>
      </c>
      <c r="J411" s="64"/>
      <c r="K411" s="64"/>
    </row>
    <row r="412" spans="1:11" x14ac:dyDescent="0.25">
      <c r="A412" s="65"/>
      <c r="B412" s="64"/>
      <c r="C412" s="64"/>
      <c r="D412" s="64"/>
      <c r="E412" s="64"/>
      <c r="F412" s="66"/>
      <c r="G412" s="67"/>
      <c r="H412" s="69" t="str">
        <f t="shared" si="12"/>
        <v/>
      </c>
      <c r="I412" s="70" t="str">
        <f t="shared" si="13"/>
        <v/>
      </c>
      <c r="J412" s="64"/>
      <c r="K412" s="64"/>
    </row>
    <row r="413" spans="1:11" x14ac:dyDescent="0.25">
      <c r="A413" s="65"/>
      <c r="B413" s="64"/>
      <c r="C413" s="64"/>
      <c r="D413" s="64"/>
      <c r="E413" s="64"/>
      <c r="F413" s="66"/>
      <c r="G413" s="67"/>
      <c r="H413" s="69" t="str">
        <f t="shared" si="12"/>
        <v/>
      </c>
      <c r="I413" s="70" t="str">
        <f t="shared" si="13"/>
        <v/>
      </c>
      <c r="J413" s="64"/>
      <c r="K413" s="64"/>
    </row>
    <row r="414" spans="1:11" x14ac:dyDescent="0.25">
      <c r="A414" s="65"/>
      <c r="B414" s="64"/>
      <c r="C414" s="64"/>
      <c r="D414" s="64"/>
      <c r="E414" s="64"/>
      <c r="F414" s="66"/>
      <c r="G414" s="67"/>
      <c r="H414" s="69" t="str">
        <f t="shared" si="12"/>
        <v/>
      </c>
      <c r="I414" s="70" t="str">
        <f t="shared" si="13"/>
        <v/>
      </c>
      <c r="J414" s="64"/>
      <c r="K414" s="64"/>
    </row>
    <row r="415" spans="1:11" x14ac:dyDescent="0.25">
      <c r="A415" s="65"/>
      <c r="B415" s="64"/>
      <c r="C415" s="64"/>
      <c r="D415" s="64"/>
      <c r="E415" s="64"/>
      <c r="F415" s="66"/>
      <c r="G415" s="67"/>
      <c r="H415" s="69" t="str">
        <f t="shared" si="12"/>
        <v/>
      </c>
      <c r="I415" s="70" t="str">
        <f t="shared" si="13"/>
        <v/>
      </c>
      <c r="J415" s="64"/>
      <c r="K415" s="64"/>
    </row>
    <row r="416" spans="1:11" x14ac:dyDescent="0.25">
      <c r="A416" s="65"/>
      <c r="B416" s="64"/>
      <c r="C416" s="64"/>
      <c r="D416" s="64"/>
      <c r="E416" s="64"/>
      <c r="F416" s="66"/>
      <c r="G416" s="67"/>
      <c r="H416" s="69" t="str">
        <f t="shared" si="12"/>
        <v/>
      </c>
      <c r="I416" s="70" t="str">
        <f t="shared" si="13"/>
        <v/>
      </c>
      <c r="J416" s="64"/>
      <c r="K416" s="64"/>
    </row>
    <row r="417" spans="1:11" x14ac:dyDescent="0.25">
      <c r="A417" s="65"/>
      <c r="B417" s="64"/>
      <c r="C417" s="64"/>
      <c r="D417" s="64"/>
      <c r="E417" s="64"/>
      <c r="F417" s="66"/>
      <c r="G417" s="67"/>
      <c r="H417" s="69" t="str">
        <f t="shared" si="12"/>
        <v/>
      </c>
      <c r="I417" s="70" t="str">
        <f t="shared" si="13"/>
        <v/>
      </c>
      <c r="J417" s="64"/>
      <c r="K417" s="64"/>
    </row>
    <row r="418" spans="1:11" x14ac:dyDescent="0.25">
      <c r="A418" s="65"/>
      <c r="B418" s="64"/>
      <c r="C418" s="64"/>
      <c r="D418" s="64"/>
      <c r="E418" s="64"/>
      <c r="F418" s="66"/>
      <c r="G418" s="67"/>
      <c r="H418" s="69" t="str">
        <f t="shared" si="12"/>
        <v/>
      </c>
      <c r="I418" s="70" t="str">
        <f t="shared" si="13"/>
        <v/>
      </c>
      <c r="J418" s="64"/>
      <c r="K418" s="64"/>
    </row>
    <row r="419" spans="1:11" x14ac:dyDescent="0.25">
      <c r="A419" s="65"/>
      <c r="B419" s="64"/>
      <c r="C419" s="64"/>
      <c r="D419" s="64"/>
      <c r="E419" s="64"/>
      <c r="F419" s="66"/>
      <c r="G419" s="67"/>
      <c r="H419" s="69" t="str">
        <f t="shared" si="12"/>
        <v/>
      </c>
      <c r="I419" s="70" t="str">
        <f t="shared" si="13"/>
        <v/>
      </c>
      <c r="J419" s="64"/>
      <c r="K419" s="64"/>
    </row>
    <row r="420" spans="1:11" x14ac:dyDescent="0.25">
      <c r="A420" s="65"/>
      <c r="B420" s="64"/>
      <c r="C420" s="64"/>
      <c r="D420" s="64"/>
      <c r="E420" s="64"/>
      <c r="F420" s="66"/>
      <c r="G420" s="67"/>
      <c r="H420" s="69" t="str">
        <f t="shared" si="12"/>
        <v/>
      </c>
      <c r="I420" s="70" t="str">
        <f t="shared" si="13"/>
        <v/>
      </c>
      <c r="J420" s="64"/>
      <c r="K420" s="64"/>
    </row>
    <row r="421" spans="1:11" x14ac:dyDescent="0.25">
      <c r="A421" s="65"/>
      <c r="B421" s="64"/>
      <c r="C421" s="64"/>
      <c r="D421" s="64"/>
      <c r="E421" s="64"/>
      <c r="F421" s="66"/>
      <c r="G421" s="67"/>
      <c r="H421" s="69" t="str">
        <f t="shared" si="12"/>
        <v/>
      </c>
      <c r="I421" s="70" t="str">
        <f t="shared" si="13"/>
        <v/>
      </c>
      <c r="J421" s="64"/>
      <c r="K421" s="64"/>
    </row>
    <row r="422" spans="1:11" x14ac:dyDescent="0.25">
      <c r="A422" s="65"/>
      <c r="B422" s="64"/>
      <c r="C422" s="64"/>
      <c r="D422" s="64"/>
      <c r="E422" s="64"/>
      <c r="F422" s="66"/>
      <c r="G422" s="67"/>
      <c r="H422" s="69" t="str">
        <f t="shared" si="12"/>
        <v/>
      </c>
      <c r="I422" s="70" t="str">
        <f t="shared" si="13"/>
        <v/>
      </c>
      <c r="J422" s="64"/>
      <c r="K422" s="64"/>
    </row>
    <row r="423" spans="1:11" x14ac:dyDescent="0.25">
      <c r="A423" s="65"/>
      <c r="B423" s="64"/>
      <c r="C423" s="64"/>
      <c r="D423" s="64"/>
      <c r="E423" s="64"/>
      <c r="F423" s="66"/>
      <c r="G423" s="67"/>
      <c r="H423" s="69" t="str">
        <f t="shared" si="12"/>
        <v/>
      </c>
      <c r="I423" s="70" t="str">
        <f t="shared" si="13"/>
        <v/>
      </c>
      <c r="J423" s="64"/>
      <c r="K423" s="64"/>
    </row>
    <row r="424" spans="1:11" x14ac:dyDescent="0.25">
      <c r="A424" s="65"/>
      <c r="B424" s="64"/>
      <c r="C424" s="64"/>
      <c r="D424" s="64"/>
      <c r="E424" s="64"/>
      <c r="F424" s="66"/>
      <c r="G424" s="67"/>
      <c r="H424" s="69" t="str">
        <f t="shared" si="12"/>
        <v/>
      </c>
      <c r="I424" s="70" t="str">
        <f t="shared" si="13"/>
        <v/>
      </c>
      <c r="J424" s="64"/>
      <c r="K424" s="64"/>
    </row>
    <row r="425" spans="1:11" x14ac:dyDescent="0.25">
      <c r="A425" s="65"/>
      <c r="B425" s="64"/>
      <c r="C425" s="64"/>
      <c r="D425" s="64"/>
      <c r="E425" s="64"/>
      <c r="F425" s="66"/>
      <c r="G425" s="67"/>
      <c r="H425" s="69" t="str">
        <f t="shared" si="12"/>
        <v/>
      </c>
      <c r="I425" s="70" t="str">
        <f t="shared" si="13"/>
        <v/>
      </c>
      <c r="J425" s="64"/>
      <c r="K425" s="64"/>
    </row>
    <row r="426" spans="1:11" x14ac:dyDescent="0.25">
      <c r="A426" s="65"/>
      <c r="B426" s="64"/>
      <c r="C426" s="64"/>
      <c r="D426" s="64"/>
      <c r="E426" s="64"/>
      <c r="F426" s="66"/>
      <c r="G426" s="67"/>
      <c r="H426" s="69" t="str">
        <f t="shared" si="12"/>
        <v/>
      </c>
      <c r="I426" s="70" t="str">
        <f t="shared" si="13"/>
        <v/>
      </c>
      <c r="J426" s="64"/>
      <c r="K426" s="64"/>
    </row>
    <row r="427" spans="1:11" x14ac:dyDescent="0.25">
      <c r="A427" s="65"/>
      <c r="B427" s="64"/>
      <c r="C427" s="64"/>
      <c r="D427" s="64"/>
      <c r="E427" s="64"/>
      <c r="F427" s="66"/>
      <c r="G427" s="67"/>
      <c r="H427" s="69" t="str">
        <f t="shared" si="12"/>
        <v/>
      </c>
      <c r="I427" s="70" t="str">
        <f t="shared" si="13"/>
        <v/>
      </c>
      <c r="J427" s="64"/>
      <c r="K427" s="64"/>
    </row>
    <row r="428" spans="1:11" x14ac:dyDescent="0.25">
      <c r="A428" s="65"/>
      <c r="B428" s="64"/>
      <c r="C428" s="64"/>
      <c r="D428" s="64"/>
      <c r="E428" s="64"/>
      <c r="F428" s="66"/>
      <c r="G428" s="67"/>
      <c r="H428" s="69" t="str">
        <f t="shared" si="12"/>
        <v/>
      </c>
      <c r="I428" s="70" t="str">
        <f t="shared" si="13"/>
        <v/>
      </c>
      <c r="J428" s="64"/>
      <c r="K428" s="64"/>
    </row>
    <row r="429" spans="1:11" x14ac:dyDescent="0.25">
      <c r="A429" s="65"/>
      <c r="B429" s="64"/>
      <c r="C429" s="64"/>
      <c r="D429" s="64"/>
      <c r="E429" s="64"/>
      <c r="F429" s="66"/>
      <c r="G429" s="67"/>
      <c r="H429" s="69" t="str">
        <f t="shared" si="12"/>
        <v/>
      </c>
      <c r="I429" s="70" t="str">
        <f t="shared" si="13"/>
        <v/>
      </c>
      <c r="J429" s="64"/>
      <c r="K429" s="64"/>
    </row>
    <row r="430" spans="1:11" x14ac:dyDescent="0.25">
      <c r="A430" s="65"/>
      <c r="B430" s="64"/>
      <c r="C430" s="64"/>
      <c r="D430" s="64"/>
      <c r="E430" s="64"/>
      <c r="F430" s="66"/>
      <c r="G430" s="67"/>
      <c r="H430" s="69" t="str">
        <f t="shared" si="12"/>
        <v/>
      </c>
      <c r="I430" s="70" t="str">
        <f t="shared" si="13"/>
        <v/>
      </c>
      <c r="J430" s="64"/>
      <c r="K430" s="64"/>
    </row>
    <row r="431" spans="1:11" x14ac:dyDescent="0.25">
      <c r="A431" s="65"/>
      <c r="B431" s="64"/>
      <c r="C431" s="64"/>
      <c r="D431" s="64"/>
      <c r="E431" s="64"/>
      <c r="F431" s="66"/>
      <c r="G431" s="67"/>
      <c r="H431" s="69" t="str">
        <f t="shared" si="12"/>
        <v/>
      </c>
      <c r="I431" s="70" t="str">
        <f t="shared" si="13"/>
        <v/>
      </c>
      <c r="J431" s="64"/>
      <c r="K431" s="64"/>
    </row>
    <row r="432" spans="1:11" x14ac:dyDescent="0.25">
      <c r="A432" s="65"/>
      <c r="B432" s="64"/>
      <c r="C432" s="64"/>
      <c r="D432" s="64"/>
      <c r="E432" s="64"/>
      <c r="F432" s="66"/>
      <c r="G432" s="67"/>
      <c r="H432" s="69" t="str">
        <f t="shared" si="12"/>
        <v/>
      </c>
      <c r="I432" s="70" t="str">
        <f t="shared" si="13"/>
        <v/>
      </c>
      <c r="J432" s="64"/>
      <c r="K432" s="64"/>
    </row>
    <row r="433" spans="1:11" x14ac:dyDescent="0.25">
      <c r="A433" s="65"/>
      <c r="B433" s="64"/>
      <c r="C433" s="64"/>
      <c r="D433" s="64"/>
      <c r="E433" s="64"/>
      <c r="F433" s="66"/>
      <c r="G433" s="67"/>
      <c r="H433" s="69" t="str">
        <f t="shared" si="12"/>
        <v/>
      </c>
      <c r="I433" s="70" t="str">
        <f t="shared" si="13"/>
        <v/>
      </c>
      <c r="J433" s="64"/>
      <c r="K433" s="64"/>
    </row>
    <row r="434" spans="1:11" x14ac:dyDescent="0.25">
      <c r="A434" s="65"/>
      <c r="B434" s="64"/>
      <c r="C434" s="64"/>
      <c r="D434" s="64"/>
      <c r="E434" s="64"/>
      <c r="F434" s="66"/>
      <c r="G434" s="67"/>
      <c r="H434" s="69" t="str">
        <f t="shared" si="12"/>
        <v/>
      </c>
      <c r="I434" s="70" t="str">
        <f t="shared" si="13"/>
        <v/>
      </c>
      <c r="J434" s="64"/>
      <c r="K434" s="64"/>
    </row>
    <row r="435" spans="1:11" x14ac:dyDescent="0.25">
      <c r="A435" s="65"/>
      <c r="B435" s="64"/>
      <c r="C435" s="64"/>
      <c r="D435" s="64"/>
      <c r="E435" s="64"/>
      <c r="F435" s="66"/>
      <c r="G435" s="67"/>
      <c r="H435" s="69" t="str">
        <f t="shared" si="12"/>
        <v/>
      </c>
      <c r="I435" s="70" t="str">
        <f t="shared" si="13"/>
        <v/>
      </c>
      <c r="J435" s="64"/>
      <c r="K435" s="64"/>
    </row>
    <row r="436" spans="1:11" x14ac:dyDescent="0.25">
      <c r="A436" s="65"/>
      <c r="B436" s="64"/>
      <c r="C436" s="64"/>
      <c r="D436" s="64"/>
      <c r="E436" s="64"/>
      <c r="F436" s="66"/>
      <c r="G436" s="67"/>
      <c r="H436" s="69" t="str">
        <f t="shared" si="12"/>
        <v/>
      </c>
      <c r="I436" s="70" t="str">
        <f t="shared" si="13"/>
        <v/>
      </c>
      <c r="J436" s="64"/>
      <c r="K436" s="64"/>
    </row>
    <row r="437" spans="1:11" x14ac:dyDescent="0.25">
      <c r="A437" s="65"/>
      <c r="B437" s="64"/>
      <c r="C437" s="64"/>
      <c r="D437" s="64"/>
      <c r="E437" s="64"/>
      <c r="F437" s="66"/>
      <c r="G437" s="67"/>
      <c r="H437" s="69" t="str">
        <f t="shared" si="12"/>
        <v/>
      </c>
      <c r="I437" s="70" t="str">
        <f t="shared" si="13"/>
        <v/>
      </c>
      <c r="J437" s="64"/>
      <c r="K437" s="64"/>
    </row>
    <row r="438" spans="1:11" x14ac:dyDescent="0.25">
      <c r="A438" s="65"/>
      <c r="B438" s="64"/>
      <c r="C438" s="64"/>
      <c r="D438" s="64"/>
      <c r="E438" s="64"/>
      <c r="F438" s="66"/>
      <c r="G438" s="67"/>
      <c r="H438" s="69" t="str">
        <f t="shared" si="12"/>
        <v/>
      </c>
      <c r="I438" s="70" t="str">
        <f t="shared" si="13"/>
        <v/>
      </c>
      <c r="J438" s="64"/>
      <c r="K438" s="64"/>
    </row>
    <row r="439" spans="1:11" x14ac:dyDescent="0.25">
      <c r="A439" s="65"/>
      <c r="B439" s="64"/>
      <c r="C439" s="64"/>
      <c r="D439" s="64"/>
      <c r="E439" s="64"/>
      <c r="F439" s="66"/>
      <c r="G439" s="67"/>
      <c r="H439" s="69" t="str">
        <f t="shared" si="12"/>
        <v/>
      </c>
      <c r="I439" s="70" t="str">
        <f t="shared" si="13"/>
        <v/>
      </c>
      <c r="J439" s="64"/>
      <c r="K439" s="64"/>
    </row>
    <row r="440" spans="1:11" x14ac:dyDescent="0.25">
      <c r="A440" s="65"/>
      <c r="B440" s="64"/>
      <c r="C440" s="64"/>
      <c r="D440" s="64"/>
      <c r="E440" s="64"/>
      <c r="F440" s="66"/>
      <c r="G440" s="67"/>
      <c r="H440" s="69" t="str">
        <f t="shared" si="12"/>
        <v/>
      </c>
      <c r="I440" s="70" t="str">
        <f t="shared" si="13"/>
        <v/>
      </c>
      <c r="J440" s="64"/>
      <c r="K440" s="64"/>
    </row>
    <row r="441" spans="1:11" x14ac:dyDescent="0.25">
      <c r="A441" s="65"/>
      <c r="B441" s="64"/>
      <c r="C441" s="64"/>
      <c r="D441" s="64"/>
      <c r="E441" s="64"/>
      <c r="F441" s="66"/>
      <c r="G441" s="67"/>
      <c r="H441" s="69" t="str">
        <f t="shared" si="12"/>
        <v/>
      </c>
      <c r="I441" s="70" t="str">
        <f t="shared" si="13"/>
        <v/>
      </c>
      <c r="J441" s="64"/>
      <c r="K441" s="64"/>
    </row>
    <row r="442" spans="1:11" x14ac:dyDescent="0.25">
      <c r="A442" s="65"/>
      <c r="B442" s="64"/>
      <c r="C442" s="64"/>
      <c r="D442" s="64"/>
      <c r="E442" s="64"/>
      <c r="F442" s="66"/>
      <c r="G442" s="67"/>
      <c r="H442" s="69" t="str">
        <f t="shared" si="12"/>
        <v/>
      </c>
      <c r="I442" s="70" t="str">
        <f t="shared" si="13"/>
        <v/>
      </c>
      <c r="J442" s="64"/>
      <c r="K442" s="64"/>
    </row>
    <row r="443" spans="1:11" x14ac:dyDescent="0.25">
      <c r="A443" s="65"/>
      <c r="B443" s="64"/>
      <c r="C443" s="64"/>
      <c r="D443" s="64"/>
      <c r="E443" s="64"/>
      <c r="F443" s="66"/>
      <c r="G443" s="67"/>
      <c r="H443" s="69" t="str">
        <f t="shared" si="12"/>
        <v/>
      </c>
      <c r="I443" s="70" t="str">
        <f t="shared" si="13"/>
        <v/>
      </c>
      <c r="J443" s="64"/>
      <c r="K443" s="64"/>
    </row>
    <row r="444" spans="1:11" x14ac:dyDescent="0.25">
      <c r="A444" s="65"/>
      <c r="B444" s="64"/>
      <c r="C444" s="64"/>
      <c r="D444" s="64"/>
      <c r="E444" s="64"/>
      <c r="F444" s="66"/>
      <c r="G444" s="67"/>
      <c r="H444" s="69" t="str">
        <f t="shared" si="12"/>
        <v/>
      </c>
      <c r="I444" s="70" t="str">
        <f t="shared" si="13"/>
        <v/>
      </c>
      <c r="J444" s="64"/>
      <c r="K444" s="64"/>
    </row>
    <row r="445" spans="1:11" x14ac:dyDescent="0.25">
      <c r="A445" s="65"/>
      <c r="B445" s="64"/>
      <c r="C445" s="64"/>
      <c r="D445" s="64"/>
      <c r="E445" s="64"/>
      <c r="F445" s="66"/>
      <c r="G445" s="67"/>
      <c r="H445" s="69" t="str">
        <f t="shared" si="12"/>
        <v/>
      </c>
      <c r="I445" s="70" t="str">
        <f t="shared" si="13"/>
        <v/>
      </c>
      <c r="J445" s="64"/>
      <c r="K445" s="64"/>
    </row>
    <row r="446" spans="1:11" x14ac:dyDescent="0.25">
      <c r="A446" s="65"/>
      <c r="B446" s="64"/>
      <c r="C446" s="64"/>
      <c r="D446" s="64"/>
      <c r="E446" s="64"/>
      <c r="F446" s="66"/>
      <c r="G446" s="67"/>
      <c r="H446" s="69" t="str">
        <f t="shared" si="12"/>
        <v/>
      </c>
      <c r="I446" s="70" t="str">
        <f t="shared" si="13"/>
        <v/>
      </c>
      <c r="J446" s="64"/>
      <c r="K446" s="64"/>
    </row>
    <row r="447" spans="1:11" x14ac:dyDescent="0.25">
      <c r="A447" s="65"/>
      <c r="B447" s="64"/>
      <c r="C447" s="64"/>
      <c r="D447" s="64"/>
      <c r="E447" s="64"/>
      <c r="F447" s="66"/>
      <c r="G447" s="67"/>
      <c r="H447" s="69" t="str">
        <f t="shared" si="12"/>
        <v/>
      </c>
      <c r="I447" s="70" t="str">
        <f t="shared" si="13"/>
        <v/>
      </c>
      <c r="J447" s="64"/>
      <c r="K447" s="64"/>
    </row>
    <row r="448" spans="1:11" x14ac:dyDescent="0.25">
      <c r="A448" s="65"/>
      <c r="B448" s="64"/>
      <c r="C448" s="64"/>
      <c r="D448" s="64"/>
      <c r="E448" s="64"/>
      <c r="F448" s="66"/>
      <c r="G448" s="67"/>
      <c r="H448" s="69" t="str">
        <f t="shared" si="12"/>
        <v/>
      </c>
      <c r="I448" s="70" t="str">
        <f t="shared" si="13"/>
        <v/>
      </c>
      <c r="J448" s="64"/>
      <c r="K448" s="64"/>
    </row>
    <row r="449" spans="1:11" x14ac:dyDescent="0.25">
      <c r="A449" s="65"/>
      <c r="B449" s="64"/>
      <c r="C449" s="64"/>
      <c r="D449" s="64"/>
      <c r="E449" s="64"/>
      <c r="F449" s="66"/>
      <c r="G449" s="67"/>
      <c r="H449" s="69" t="str">
        <f t="shared" si="12"/>
        <v/>
      </c>
      <c r="I449" s="70" t="str">
        <f t="shared" si="13"/>
        <v/>
      </c>
      <c r="J449" s="64"/>
      <c r="K449" s="64"/>
    </row>
    <row r="450" spans="1:11" x14ac:dyDescent="0.25">
      <c r="A450" s="65"/>
      <c r="B450" s="64"/>
      <c r="C450" s="64"/>
      <c r="D450" s="64"/>
      <c r="E450" s="64"/>
      <c r="F450" s="66"/>
      <c r="G450" s="67"/>
      <c r="H450" s="69" t="str">
        <f t="shared" si="12"/>
        <v/>
      </c>
      <c r="I450" s="70" t="str">
        <f t="shared" si="13"/>
        <v/>
      </c>
      <c r="J450" s="64"/>
      <c r="K450" s="64"/>
    </row>
    <row r="451" spans="1:11" x14ac:dyDescent="0.25">
      <c r="A451" s="65"/>
      <c r="B451" s="64"/>
      <c r="C451" s="64"/>
      <c r="D451" s="64"/>
      <c r="E451" s="64"/>
      <c r="F451" s="66"/>
      <c r="G451" s="67"/>
      <c r="H451" s="69" t="str">
        <f t="shared" ref="H451:H502" si="14">IFERROR(IF(F451="","",F451*G451),"")</f>
        <v/>
      </c>
      <c r="I451" s="70" t="str">
        <f t="shared" ref="I451:I502" si="15">IFERROR(IF(F451="","",F451+H451),"")</f>
        <v/>
      </c>
      <c r="J451" s="64"/>
      <c r="K451" s="64"/>
    </row>
    <row r="452" spans="1:11" x14ac:dyDescent="0.25">
      <c r="A452" s="65"/>
      <c r="B452" s="64"/>
      <c r="C452" s="64"/>
      <c r="D452" s="64"/>
      <c r="E452" s="64"/>
      <c r="F452" s="66"/>
      <c r="G452" s="67"/>
      <c r="H452" s="69" t="str">
        <f t="shared" si="14"/>
        <v/>
      </c>
      <c r="I452" s="70" t="str">
        <f t="shared" si="15"/>
        <v/>
      </c>
      <c r="J452" s="64"/>
      <c r="K452" s="64"/>
    </row>
    <row r="453" spans="1:11" x14ac:dyDescent="0.25">
      <c r="A453" s="65"/>
      <c r="B453" s="64"/>
      <c r="C453" s="64"/>
      <c r="D453" s="64"/>
      <c r="E453" s="64"/>
      <c r="F453" s="66"/>
      <c r="G453" s="67"/>
      <c r="H453" s="69" t="str">
        <f t="shared" si="14"/>
        <v/>
      </c>
      <c r="I453" s="70" t="str">
        <f t="shared" si="15"/>
        <v/>
      </c>
      <c r="J453" s="64"/>
      <c r="K453" s="64"/>
    </row>
    <row r="454" spans="1:11" x14ac:dyDescent="0.25">
      <c r="A454" s="65"/>
      <c r="B454" s="64"/>
      <c r="C454" s="64"/>
      <c r="D454" s="64"/>
      <c r="E454" s="64"/>
      <c r="F454" s="66"/>
      <c r="G454" s="67"/>
      <c r="H454" s="69" t="str">
        <f t="shared" si="14"/>
        <v/>
      </c>
      <c r="I454" s="70" t="str">
        <f t="shared" si="15"/>
        <v/>
      </c>
      <c r="J454" s="64"/>
      <c r="K454" s="64"/>
    </row>
    <row r="455" spans="1:11" x14ac:dyDescent="0.25">
      <c r="A455" s="65"/>
      <c r="B455" s="64"/>
      <c r="C455" s="64"/>
      <c r="D455" s="64"/>
      <c r="E455" s="64"/>
      <c r="F455" s="66"/>
      <c r="G455" s="67"/>
      <c r="H455" s="69" t="str">
        <f t="shared" si="14"/>
        <v/>
      </c>
      <c r="I455" s="70" t="str">
        <f t="shared" si="15"/>
        <v/>
      </c>
      <c r="J455" s="64"/>
      <c r="K455" s="64"/>
    </row>
    <row r="456" spans="1:11" x14ac:dyDescent="0.25">
      <c r="A456" s="65"/>
      <c r="B456" s="64"/>
      <c r="C456" s="64"/>
      <c r="D456" s="64"/>
      <c r="E456" s="64"/>
      <c r="F456" s="66"/>
      <c r="G456" s="67"/>
      <c r="H456" s="69" t="str">
        <f t="shared" si="14"/>
        <v/>
      </c>
      <c r="I456" s="70" t="str">
        <f t="shared" si="15"/>
        <v/>
      </c>
      <c r="J456" s="64"/>
      <c r="K456" s="64"/>
    </row>
    <row r="457" spans="1:11" x14ac:dyDescent="0.25">
      <c r="A457" s="65"/>
      <c r="B457" s="64"/>
      <c r="C457" s="64"/>
      <c r="D457" s="64"/>
      <c r="E457" s="64"/>
      <c r="F457" s="66"/>
      <c r="G457" s="67"/>
      <c r="H457" s="69" t="str">
        <f t="shared" si="14"/>
        <v/>
      </c>
      <c r="I457" s="70" t="str">
        <f t="shared" si="15"/>
        <v/>
      </c>
      <c r="J457" s="64"/>
      <c r="K457" s="64"/>
    </row>
    <row r="458" spans="1:11" x14ac:dyDescent="0.25">
      <c r="A458" s="65"/>
      <c r="B458" s="64"/>
      <c r="C458" s="64"/>
      <c r="D458" s="64"/>
      <c r="E458" s="64"/>
      <c r="F458" s="66"/>
      <c r="G458" s="67"/>
      <c r="H458" s="69" t="str">
        <f t="shared" si="14"/>
        <v/>
      </c>
      <c r="I458" s="70" t="str">
        <f t="shared" si="15"/>
        <v/>
      </c>
      <c r="J458" s="64"/>
      <c r="K458" s="64"/>
    </row>
    <row r="459" spans="1:11" x14ac:dyDescent="0.25">
      <c r="A459" s="65"/>
      <c r="B459" s="64"/>
      <c r="C459" s="64"/>
      <c r="D459" s="64"/>
      <c r="E459" s="64"/>
      <c r="F459" s="66"/>
      <c r="G459" s="67"/>
      <c r="H459" s="69" t="str">
        <f t="shared" si="14"/>
        <v/>
      </c>
      <c r="I459" s="70" t="str">
        <f t="shared" si="15"/>
        <v/>
      </c>
      <c r="J459" s="64"/>
      <c r="K459" s="64"/>
    </row>
    <row r="460" spans="1:11" x14ac:dyDescent="0.25">
      <c r="A460" s="65"/>
      <c r="B460" s="64"/>
      <c r="C460" s="64"/>
      <c r="D460" s="64"/>
      <c r="E460" s="64"/>
      <c r="F460" s="66"/>
      <c r="G460" s="67"/>
      <c r="H460" s="69" t="str">
        <f t="shared" si="14"/>
        <v/>
      </c>
      <c r="I460" s="70" t="str">
        <f t="shared" si="15"/>
        <v/>
      </c>
      <c r="J460" s="64"/>
      <c r="K460" s="64"/>
    </row>
    <row r="461" spans="1:11" x14ac:dyDescent="0.25">
      <c r="A461" s="65"/>
      <c r="B461" s="64"/>
      <c r="C461" s="64"/>
      <c r="D461" s="64"/>
      <c r="E461" s="64"/>
      <c r="F461" s="66"/>
      <c r="G461" s="67"/>
      <c r="H461" s="69" t="str">
        <f t="shared" si="14"/>
        <v/>
      </c>
      <c r="I461" s="70" t="str">
        <f t="shared" si="15"/>
        <v/>
      </c>
      <c r="J461" s="64"/>
      <c r="K461" s="64"/>
    </row>
    <row r="462" spans="1:11" x14ac:dyDescent="0.25">
      <c r="A462" s="65"/>
      <c r="B462" s="64"/>
      <c r="C462" s="64"/>
      <c r="D462" s="64"/>
      <c r="E462" s="64"/>
      <c r="F462" s="66"/>
      <c r="G462" s="67"/>
      <c r="H462" s="69" t="str">
        <f t="shared" si="14"/>
        <v/>
      </c>
      <c r="I462" s="70" t="str">
        <f t="shared" si="15"/>
        <v/>
      </c>
      <c r="J462" s="64"/>
      <c r="K462" s="64"/>
    </row>
    <row r="463" spans="1:11" x14ac:dyDescent="0.25">
      <c r="A463" s="65"/>
      <c r="B463" s="64"/>
      <c r="C463" s="64"/>
      <c r="D463" s="64"/>
      <c r="E463" s="64"/>
      <c r="F463" s="66"/>
      <c r="G463" s="67"/>
      <c r="H463" s="69" t="str">
        <f t="shared" si="14"/>
        <v/>
      </c>
      <c r="I463" s="70" t="str">
        <f t="shared" si="15"/>
        <v/>
      </c>
      <c r="J463" s="64"/>
      <c r="K463" s="64"/>
    </row>
    <row r="464" spans="1:11" x14ac:dyDescent="0.25">
      <c r="A464" s="65"/>
      <c r="B464" s="64"/>
      <c r="C464" s="64"/>
      <c r="D464" s="64"/>
      <c r="E464" s="64"/>
      <c r="F464" s="66"/>
      <c r="G464" s="67"/>
      <c r="H464" s="69" t="str">
        <f t="shared" si="14"/>
        <v/>
      </c>
      <c r="I464" s="70" t="str">
        <f t="shared" si="15"/>
        <v/>
      </c>
      <c r="J464" s="64"/>
      <c r="K464" s="64"/>
    </row>
    <row r="465" spans="1:11" x14ac:dyDescent="0.25">
      <c r="A465" s="65"/>
      <c r="B465" s="64"/>
      <c r="C465" s="64"/>
      <c r="D465" s="64"/>
      <c r="E465" s="64"/>
      <c r="F465" s="66"/>
      <c r="G465" s="67"/>
      <c r="H465" s="69" t="str">
        <f t="shared" si="14"/>
        <v/>
      </c>
      <c r="I465" s="70" t="str">
        <f t="shared" si="15"/>
        <v/>
      </c>
      <c r="J465" s="64"/>
      <c r="K465" s="64"/>
    </row>
    <row r="466" spans="1:11" x14ac:dyDescent="0.25">
      <c r="A466" s="65"/>
      <c r="B466" s="64"/>
      <c r="C466" s="64"/>
      <c r="D466" s="64"/>
      <c r="E466" s="64"/>
      <c r="F466" s="66"/>
      <c r="G466" s="67"/>
      <c r="H466" s="69" t="str">
        <f t="shared" si="14"/>
        <v/>
      </c>
      <c r="I466" s="70" t="str">
        <f t="shared" si="15"/>
        <v/>
      </c>
      <c r="J466" s="64"/>
      <c r="K466" s="64"/>
    </row>
    <row r="467" spans="1:11" x14ac:dyDescent="0.25">
      <c r="A467" s="65"/>
      <c r="B467" s="64"/>
      <c r="C467" s="64"/>
      <c r="D467" s="64"/>
      <c r="E467" s="64"/>
      <c r="F467" s="66"/>
      <c r="G467" s="67"/>
      <c r="H467" s="69" t="str">
        <f t="shared" si="14"/>
        <v/>
      </c>
      <c r="I467" s="70" t="str">
        <f t="shared" si="15"/>
        <v/>
      </c>
      <c r="J467" s="64"/>
      <c r="K467" s="64"/>
    </row>
    <row r="468" spans="1:11" x14ac:dyDescent="0.25">
      <c r="A468" s="65"/>
      <c r="B468" s="64"/>
      <c r="C468" s="64"/>
      <c r="D468" s="64"/>
      <c r="E468" s="64"/>
      <c r="F468" s="66"/>
      <c r="G468" s="67"/>
      <c r="H468" s="69" t="str">
        <f t="shared" si="14"/>
        <v/>
      </c>
      <c r="I468" s="70" t="str">
        <f t="shared" si="15"/>
        <v/>
      </c>
      <c r="J468" s="64"/>
      <c r="K468" s="64"/>
    </row>
    <row r="469" spans="1:11" x14ac:dyDescent="0.25">
      <c r="A469" s="65"/>
      <c r="B469" s="64"/>
      <c r="C469" s="64"/>
      <c r="D469" s="64"/>
      <c r="E469" s="64"/>
      <c r="F469" s="66"/>
      <c r="G469" s="67"/>
      <c r="H469" s="69" t="str">
        <f t="shared" si="14"/>
        <v/>
      </c>
      <c r="I469" s="70" t="str">
        <f t="shared" si="15"/>
        <v/>
      </c>
      <c r="J469" s="64"/>
      <c r="K469" s="64"/>
    </row>
    <row r="470" spans="1:11" x14ac:dyDescent="0.25">
      <c r="A470" s="65"/>
      <c r="B470" s="64"/>
      <c r="C470" s="64"/>
      <c r="D470" s="64"/>
      <c r="E470" s="64"/>
      <c r="F470" s="66"/>
      <c r="G470" s="67"/>
      <c r="H470" s="69" t="str">
        <f t="shared" si="14"/>
        <v/>
      </c>
      <c r="I470" s="70" t="str">
        <f t="shared" si="15"/>
        <v/>
      </c>
      <c r="J470" s="64"/>
      <c r="K470" s="64"/>
    </row>
    <row r="471" spans="1:11" x14ac:dyDescent="0.25">
      <c r="A471" s="65"/>
      <c r="B471" s="64"/>
      <c r="C471" s="64"/>
      <c r="D471" s="64"/>
      <c r="E471" s="64"/>
      <c r="F471" s="66"/>
      <c r="G471" s="67"/>
      <c r="H471" s="69" t="str">
        <f t="shared" si="14"/>
        <v/>
      </c>
      <c r="I471" s="70" t="str">
        <f t="shared" si="15"/>
        <v/>
      </c>
      <c r="J471" s="64"/>
      <c r="K471" s="64"/>
    </row>
    <row r="472" spans="1:11" x14ac:dyDescent="0.25">
      <c r="A472" s="65"/>
      <c r="B472" s="64"/>
      <c r="C472" s="64"/>
      <c r="D472" s="64"/>
      <c r="E472" s="64"/>
      <c r="F472" s="66"/>
      <c r="G472" s="67"/>
      <c r="H472" s="69" t="str">
        <f t="shared" si="14"/>
        <v/>
      </c>
      <c r="I472" s="70" t="str">
        <f t="shared" si="15"/>
        <v/>
      </c>
      <c r="J472" s="64"/>
      <c r="K472" s="64"/>
    </row>
    <row r="473" spans="1:11" x14ac:dyDescent="0.25">
      <c r="A473" s="65"/>
      <c r="B473" s="64"/>
      <c r="C473" s="64"/>
      <c r="D473" s="64"/>
      <c r="E473" s="64"/>
      <c r="F473" s="66"/>
      <c r="G473" s="67"/>
      <c r="H473" s="69" t="str">
        <f t="shared" si="14"/>
        <v/>
      </c>
      <c r="I473" s="70" t="str">
        <f t="shared" si="15"/>
        <v/>
      </c>
      <c r="J473" s="64"/>
      <c r="K473" s="64"/>
    </row>
    <row r="474" spans="1:11" x14ac:dyDescent="0.25">
      <c r="A474" s="65"/>
      <c r="B474" s="64"/>
      <c r="C474" s="64"/>
      <c r="D474" s="64"/>
      <c r="E474" s="64"/>
      <c r="F474" s="66"/>
      <c r="G474" s="67"/>
      <c r="H474" s="69" t="str">
        <f t="shared" si="14"/>
        <v/>
      </c>
      <c r="I474" s="70" t="str">
        <f t="shared" si="15"/>
        <v/>
      </c>
      <c r="J474" s="64"/>
      <c r="K474" s="64"/>
    </row>
    <row r="475" spans="1:11" x14ac:dyDescent="0.25">
      <c r="A475" s="65"/>
      <c r="B475" s="64"/>
      <c r="C475" s="64"/>
      <c r="D475" s="64"/>
      <c r="E475" s="64"/>
      <c r="F475" s="66"/>
      <c r="G475" s="67"/>
      <c r="H475" s="69" t="str">
        <f t="shared" si="14"/>
        <v/>
      </c>
      <c r="I475" s="70" t="str">
        <f t="shared" si="15"/>
        <v/>
      </c>
      <c r="J475" s="64"/>
      <c r="K475" s="64"/>
    </row>
    <row r="476" spans="1:11" x14ac:dyDescent="0.25">
      <c r="A476" s="65"/>
      <c r="B476" s="64"/>
      <c r="C476" s="64"/>
      <c r="D476" s="64"/>
      <c r="E476" s="64"/>
      <c r="F476" s="66"/>
      <c r="G476" s="67"/>
      <c r="H476" s="69" t="str">
        <f t="shared" si="14"/>
        <v/>
      </c>
      <c r="I476" s="70" t="str">
        <f t="shared" si="15"/>
        <v/>
      </c>
      <c r="J476" s="64"/>
      <c r="K476" s="64"/>
    </row>
    <row r="477" spans="1:11" x14ac:dyDescent="0.25">
      <c r="A477" s="65"/>
      <c r="B477" s="64"/>
      <c r="C477" s="64"/>
      <c r="D477" s="64"/>
      <c r="E477" s="64"/>
      <c r="F477" s="66"/>
      <c r="G477" s="67"/>
      <c r="H477" s="69" t="str">
        <f t="shared" si="14"/>
        <v/>
      </c>
      <c r="I477" s="70" t="str">
        <f t="shared" si="15"/>
        <v/>
      </c>
      <c r="J477" s="64"/>
      <c r="K477" s="64"/>
    </row>
    <row r="478" spans="1:11" x14ac:dyDescent="0.25">
      <c r="A478" s="65"/>
      <c r="B478" s="64"/>
      <c r="C478" s="64"/>
      <c r="D478" s="64"/>
      <c r="E478" s="64"/>
      <c r="F478" s="66"/>
      <c r="G478" s="67"/>
      <c r="H478" s="69" t="str">
        <f t="shared" si="14"/>
        <v/>
      </c>
      <c r="I478" s="70" t="str">
        <f t="shared" si="15"/>
        <v/>
      </c>
      <c r="J478" s="64"/>
      <c r="K478" s="64"/>
    </row>
    <row r="479" spans="1:11" x14ac:dyDescent="0.25">
      <c r="A479" s="65"/>
      <c r="B479" s="64"/>
      <c r="C479" s="64"/>
      <c r="D479" s="64"/>
      <c r="E479" s="64"/>
      <c r="F479" s="66"/>
      <c r="G479" s="67"/>
      <c r="H479" s="69" t="str">
        <f t="shared" si="14"/>
        <v/>
      </c>
      <c r="I479" s="70" t="str">
        <f t="shared" si="15"/>
        <v/>
      </c>
      <c r="J479" s="64"/>
      <c r="K479" s="64"/>
    </row>
    <row r="480" spans="1:11" x14ac:dyDescent="0.25">
      <c r="A480" s="65"/>
      <c r="B480" s="64"/>
      <c r="C480" s="64"/>
      <c r="D480" s="64"/>
      <c r="E480" s="64"/>
      <c r="F480" s="66"/>
      <c r="G480" s="67"/>
      <c r="H480" s="69" t="str">
        <f t="shared" si="14"/>
        <v/>
      </c>
      <c r="I480" s="70" t="str">
        <f t="shared" si="15"/>
        <v/>
      </c>
      <c r="J480" s="64"/>
      <c r="K480" s="64"/>
    </row>
    <row r="481" spans="1:11" x14ac:dyDescent="0.25">
      <c r="A481" s="65"/>
      <c r="B481" s="64"/>
      <c r="C481" s="64"/>
      <c r="D481" s="64"/>
      <c r="E481" s="64"/>
      <c r="F481" s="66"/>
      <c r="G481" s="67"/>
      <c r="H481" s="69" t="str">
        <f t="shared" si="14"/>
        <v/>
      </c>
      <c r="I481" s="70" t="str">
        <f t="shared" si="15"/>
        <v/>
      </c>
      <c r="J481" s="64"/>
      <c r="K481" s="64"/>
    </row>
    <row r="482" spans="1:11" x14ac:dyDescent="0.25">
      <c r="A482" s="65"/>
      <c r="B482" s="64"/>
      <c r="C482" s="64"/>
      <c r="D482" s="64"/>
      <c r="E482" s="64"/>
      <c r="F482" s="66"/>
      <c r="G482" s="67"/>
      <c r="H482" s="69" t="str">
        <f t="shared" si="14"/>
        <v/>
      </c>
      <c r="I482" s="70" t="str">
        <f t="shared" si="15"/>
        <v/>
      </c>
      <c r="J482" s="64"/>
      <c r="K482" s="64"/>
    </row>
    <row r="483" spans="1:11" x14ac:dyDescent="0.25">
      <c r="A483" s="65"/>
      <c r="B483" s="64"/>
      <c r="C483" s="64"/>
      <c r="D483" s="64"/>
      <c r="E483" s="64"/>
      <c r="F483" s="66"/>
      <c r="G483" s="67"/>
      <c r="H483" s="69" t="str">
        <f t="shared" si="14"/>
        <v/>
      </c>
      <c r="I483" s="70" t="str">
        <f t="shared" si="15"/>
        <v/>
      </c>
      <c r="J483" s="64"/>
      <c r="K483" s="64"/>
    </row>
    <row r="484" spans="1:11" x14ac:dyDescent="0.25">
      <c r="A484" s="65"/>
      <c r="B484" s="64"/>
      <c r="C484" s="64"/>
      <c r="D484" s="64"/>
      <c r="E484" s="64"/>
      <c r="F484" s="66"/>
      <c r="G484" s="67"/>
      <c r="H484" s="69" t="str">
        <f t="shared" si="14"/>
        <v/>
      </c>
      <c r="I484" s="70" t="str">
        <f t="shared" si="15"/>
        <v/>
      </c>
      <c r="J484" s="64"/>
      <c r="K484" s="64"/>
    </row>
    <row r="485" spans="1:11" x14ac:dyDescent="0.25">
      <c r="A485" s="65"/>
      <c r="B485" s="64"/>
      <c r="C485" s="64"/>
      <c r="D485" s="64"/>
      <c r="E485" s="64"/>
      <c r="F485" s="66"/>
      <c r="G485" s="67"/>
      <c r="H485" s="69" t="str">
        <f t="shared" si="14"/>
        <v/>
      </c>
      <c r="I485" s="70" t="str">
        <f t="shared" si="15"/>
        <v/>
      </c>
      <c r="J485" s="64"/>
      <c r="K485" s="64"/>
    </row>
    <row r="486" spans="1:11" x14ac:dyDescent="0.25">
      <c r="A486" s="65"/>
      <c r="B486" s="64"/>
      <c r="C486" s="64"/>
      <c r="D486" s="64"/>
      <c r="E486" s="64"/>
      <c r="F486" s="66"/>
      <c r="G486" s="67"/>
      <c r="H486" s="69" t="str">
        <f t="shared" si="14"/>
        <v/>
      </c>
      <c r="I486" s="70" t="str">
        <f t="shared" si="15"/>
        <v/>
      </c>
      <c r="J486" s="64"/>
      <c r="K486" s="64"/>
    </row>
    <row r="487" spans="1:11" x14ac:dyDescent="0.25">
      <c r="A487" s="65"/>
      <c r="B487" s="64"/>
      <c r="C487" s="64"/>
      <c r="D487" s="64"/>
      <c r="E487" s="64"/>
      <c r="F487" s="66"/>
      <c r="G487" s="67"/>
      <c r="H487" s="69" t="str">
        <f t="shared" si="14"/>
        <v/>
      </c>
      <c r="I487" s="70" t="str">
        <f t="shared" si="15"/>
        <v/>
      </c>
      <c r="J487" s="64"/>
      <c r="K487" s="64"/>
    </row>
    <row r="488" spans="1:11" x14ac:dyDescent="0.25">
      <c r="A488" s="65"/>
      <c r="B488" s="64"/>
      <c r="C488" s="64"/>
      <c r="D488" s="64"/>
      <c r="E488" s="64"/>
      <c r="F488" s="66"/>
      <c r="G488" s="67"/>
      <c r="H488" s="69" t="str">
        <f t="shared" si="14"/>
        <v/>
      </c>
      <c r="I488" s="70" t="str">
        <f t="shared" si="15"/>
        <v/>
      </c>
      <c r="J488" s="64"/>
      <c r="K488" s="64"/>
    </row>
    <row r="489" spans="1:11" x14ac:dyDescent="0.25">
      <c r="A489" s="65"/>
      <c r="B489" s="64"/>
      <c r="C489" s="64"/>
      <c r="D489" s="64"/>
      <c r="E489" s="64"/>
      <c r="F489" s="66"/>
      <c r="G489" s="67"/>
      <c r="H489" s="69" t="str">
        <f t="shared" si="14"/>
        <v/>
      </c>
      <c r="I489" s="70" t="str">
        <f t="shared" si="15"/>
        <v/>
      </c>
      <c r="J489" s="64"/>
      <c r="K489" s="64"/>
    </row>
    <row r="490" spans="1:11" x14ac:dyDescent="0.25">
      <c r="A490" s="65"/>
      <c r="B490" s="64"/>
      <c r="C490" s="64"/>
      <c r="D490" s="64"/>
      <c r="E490" s="64"/>
      <c r="F490" s="66"/>
      <c r="G490" s="67"/>
      <c r="H490" s="69" t="str">
        <f t="shared" si="14"/>
        <v/>
      </c>
      <c r="I490" s="70" t="str">
        <f t="shared" si="15"/>
        <v/>
      </c>
      <c r="J490" s="64"/>
      <c r="K490" s="64"/>
    </row>
    <row r="491" spans="1:11" x14ac:dyDescent="0.25">
      <c r="A491" s="65"/>
      <c r="B491" s="64"/>
      <c r="C491" s="64"/>
      <c r="D491" s="64"/>
      <c r="E491" s="64"/>
      <c r="F491" s="66"/>
      <c r="G491" s="67"/>
      <c r="H491" s="69" t="str">
        <f t="shared" si="14"/>
        <v/>
      </c>
      <c r="I491" s="70" t="str">
        <f t="shared" si="15"/>
        <v/>
      </c>
      <c r="J491" s="64"/>
      <c r="K491" s="64"/>
    </row>
    <row r="492" spans="1:11" x14ac:dyDescent="0.25">
      <c r="A492" s="65"/>
      <c r="B492" s="64"/>
      <c r="C492" s="64"/>
      <c r="D492" s="64"/>
      <c r="E492" s="64"/>
      <c r="F492" s="66"/>
      <c r="G492" s="67"/>
      <c r="H492" s="69" t="str">
        <f t="shared" si="14"/>
        <v/>
      </c>
      <c r="I492" s="70" t="str">
        <f t="shared" si="15"/>
        <v/>
      </c>
      <c r="J492" s="64"/>
      <c r="K492" s="64"/>
    </row>
    <row r="493" spans="1:11" x14ac:dyDescent="0.25">
      <c r="A493" s="65"/>
      <c r="B493" s="64"/>
      <c r="C493" s="64"/>
      <c r="D493" s="64"/>
      <c r="E493" s="64"/>
      <c r="F493" s="66"/>
      <c r="G493" s="67"/>
      <c r="H493" s="69" t="str">
        <f t="shared" si="14"/>
        <v/>
      </c>
      <c r="I493" s="70" t="str">
        <f t="shared" si="15"/>
        <v/>
      </c>
      <c r="J493" s="64"/>
      <c r="K493" s="64"/>
    </row>
    <row r="494" spans="1:11" x14ac:dyDescent="0.25">
      <c r="A494" s="65"/>
      <c r="B494" s="64"/>
      <c r="C494" s="64"/>
      <c r="D494" s="64"/>
      <c r="E494" s="64"/>
      <c r="F494" s="66"/>
      <c r="G494" s="67"/>
      <c r="H494" s="69" t="str">
        <f t="shared" si="14"/>
        <v/>
      </c>
      <c r="I494" s="70" t="str">
        <f t="shared" si="15"/>
        <v/>
      </c>
      <c r="J494" s="64"/>
      <c r="K494" s="64"/>
    </row>
    <row r="495" spans="1:11" x14ac:dyDescent="0.25">
      <c r="A495" s="65"/>
      <c r="B495" s="64"/>
      <c r="C495" s="64"/>
      <c r="D495" s="64"/>
      <c r="E495" s="64"/>
      <c r="F495" s="66"/>
      <c r="G495" s="67"/>
      <c r="H495" s="69" t="str">
        <f t="shared" si="14"/>
        <v/>
      </c>
      <c r="I495" s="70" t="str">
        <f t="shared" si="15"/>
        <v/>
      </c>
      <c r="J495" s="64"/>
      <c r="K495" s="64"/>
    </row>
    <row r="496" spans="1:11" x14ac:dyDescent="0.25">
      <c r="A496" s="65"/>
      <c r="B496" s="64"/>
      <c r="C496" s="64"/>
      <c r="D496" s="64"/>
      <c r="E496" s="64"/>
      <c r="F496" s="66"/>
      <c r="G496" s="67"/>
      <c r="H496" s="69" t="str">
        <f t="shared" si="14"/>
        <v/>
      </c>
      <c r="I496" s="70" t="str">
        <f t="shared" si="15"/>
        <v/>
      </c>
      <c r="J496" s="64"/>
      <c r="K496" s="64"/>
    </row>
    <row r="497" spans="1:11" x14ac:dyDescent="0.25">
      <c r="A497" s="65"/>
      <c r="B497" s="64"/>
      <c r="C497" s="64"/>
      <c r="D497" s="64"/>
      <c r="E497" s="64"/>
      <c r="F497" s="66"/>
      <c r="G497" s="67"/>
      <c r="H497" s="69" t="str">
        <f t="shared" si="14"/>
        <v/>
      </c>
      <c r="I497" s="70" t="str">
        <f t="shared" si="15"/>
        <v/>
      </c>
      <c r="J497" s="64"/>
      <c r="K497" s="64"/>
    </row>
    <row r="498" spans="1:11" x14ac:dyDescent="0.25">
      <c r="A498" s="65"/>
      <c r="B498" s="64"/>
      <c r="C498" s="64"/>
      <c r="D498" s="64"/>
      <c r="E498" s="64"/>
      <c r="F498" s="66"/>
      <c r="G498" s="67"/>
      <c r="H498" s="69" t="str">
        <f t="shared" si="14"/>
        <v/>
      </c>
      <c r="I498" s="70" t="str">
        <f t="shared" si="15"/>
        <v/>
      </c>
      <c r="J498" s="64"/>
      <c r="K498" s="64"/>
    </row>
    <row r="499" spans="1:11" x14ac:dyDescent="0.25">
      <c r="A499" s="65"/>
      <c r="B499" s="64"/>
      <c r="C499" s="64"/>
      <c r="D499" s="64"/>
      <c r="E499" s="64"/>
      <c r="F499" s="66"/>
      <c r="G499" s="67"/>
      <c r="H499" s="69" t="str">
        <f t="shared" si="14"/>
        <v/>
      </c>
      <c r="I499" s="70" t="str">
        <f t="shared" si="15"/>
        <v/>
      </c>
      <c r="J499" s="64"/>
      <c r="K499" s="64"/>
    </row>
    <row r="500" spans="1:11" x14ac:dyDescent="0.25">
      <c r="A500" s="65"/>
      <c r="B500" s="64"/>
      <c r="C500" s="64"/>
      <c r="D500" s="64"/>
      <c r="E500" s="64"/>
      <c r="F500" s="66"/>
      <c r="G500" s="67"/>
      <c r="H500" s="69" t="str">
        <f t="shared" si="14"/>
        <v/>
      </c>
      <c r="I500" s="70" t="str">
        <f t="shared" si="15"/>
        <v/>
      </c>
      <c r="J500" s="64"/>
      <c r="K500" s="64"/>
    </row>
    <row r="501" spans="1:11" x14ac:dyDescent="0.25">
      <c r="A501" s="65"/>
      <c r="B501" s="64"/>
      <c r="C501" s="64"/>
      <c r="D501" s="64"/>
      <c r="E501" s="64"/>
      <c r="F501" s="66"/>
      <c r="G501" s="67"/>
      <c r="H501" s="69" t="str">
        <f t="shared" si="14"/>
        <v/>
      </c>
      <c r="I501" s="70" t="str">
        <f t="shared" si="15"/>
        <v/>
      </c>
      <c r="J501" s="64"/>
      <c r="K501" s="64"/>
    </row>
    <row r="502" spans="1:11" x14ac:dyDescent="0.25">
      <c r="A502" s="65"/>
      <c r="B502" s="64"/>
      <c r="C502" s="64"/>
      <c r="D502" s="64"/>
      <c r="E502" s="64"/>
      <c r="F502" s="66"/>
      <c r="G502" s="67"/>
      <c r="H502" s="69" t="str">
        <f t="shared" si="14"/>
        <v/>
      </c>
      <c r="I502" s="70" t="str">
        <f t="shared" si="15"/>
        <v/>
      </c>
      <c r="J502" s="64"/>
      <c r="K502" s="6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dataValidations count="2">
    <dataValidation type="list" allowBlank="1" sqref="C3:C502" xr:uid="{00000000-0002-0000-1400-000000000000}">
      <formula1>"Rent,Utilities,Fuel,Vehicle,Insurance,Bank_fees,Marketing,Office,Cleaning,Repairs,Legal_Accounting,IT_Software,Training,Travel,Meals,Small_Tools,Consumables,Waste_disposal,Other"</formula1>
      <formula2>0</formula2>
    </dataValidation>
    <dataValidation type="list" allowBlank="1" sqref="J3:J502" xr:uid="{00000000-0002-0000-1400-000001000000}">
      <formula1>"Bank_transfer,Card,Cash,Direct_debit,Cheque"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00000"/>
  </sheetPr>
  <dimension ref="A1:I25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24" customWidth="1"/>
    <col min="3" max="3" width="14" customWidth="1"/>
    <col min="4" max="7" width="18" customWidth="1"/>
    <col min="8" max="8" width="14" customWidth="1"/>
    <col min="9" max="9" width="22" customWidth="1"/>
  </cols>
  <sheetData>
    <row r="1" spans="1:9" ht="18" x14ac:dyDescent="0.25">
      <c r="A1" s="60" t="s">
        <v>946</v>
      </c>
      <c r="B1" s="61"/>
      <c r="C1" s="61"/>
      <c r="D1" s="61"/>
      <c r="E1" s="133" t="s">
        <v>947</v>
      </c>
      <c r="F1" s="61"/>
      <c r="G1" s="61"/>
      <c r="H1" s="61"/>
      <c r="I1" s="61"/>
    </row>
    <row r="2" spans="1:9" ht="27.75" customHeight="1" x14ac:dyDescent="0.25">
      <c r="A2" s="63" t="s">
        <v>873</v>
      </c>
      <c r="B2" s="63" t="s">
        <v>948</v>
      </c>
      <c r="C2" s="63" t="s">
        <v>949</v>
      </c>
      <c r="D2" s="63" t="s">
        <v>950</v>
      </c>
      <c r="E2" s="63" t="s">
        <v>951</v>
      </c>
      <c r="F2" s="63" t="s">
        <v>952</v>
      </c>
      <c r="G2" s="63" t="s">
        <v>953</v>
      </c>
      <c r="H2" s="63" t="s">
        <v>954</v>
      </c>
      <c r="I2" s="63" t="s">
        <v>226</v>
      </c>
    </row>
    <row r="3" spans="1:9" x14ac:dyDescent="0.25">
      <c r="A3" s="158" t="s">
        <v>881</v>
      </c>
      <c r="B3" s="158" t="s">
        <v>955</v>
      </c>
      <c r="C3" s="158" t="s">
        <v>956</v>
      </c>
      <c r="D3" s="158" t="s">
        <v>957</v>
      </c>
      <c r="E3" s="66">
        <v>25000</v>
      </c>
      <c r="F3" s="69">
        <f>IFERROR(SUMIFS(Cash_Flow!$F$3:$F$1002,Cash_Flow!$G$3:$G$1002,A3,Cash_Flow!$D$3:$D$1002,"Inflow"),0)</f>
        <v>35000</v>
      </c>
      <c r="G3" s="69">
        <f>IFERROR(SUMIFS(Cash_Flow!$F$3:$F$1002,Cash_Flow!$G$3:$G$1002,A3,Cash_Flow!$D$3:$D$1002,"Outflow"),0)</f>
        <v>11425</v>
      </c>
      <c r="H3" s="157">
        <f t="shared" ref="H3:H22" si="0">IF(A3="","",E3+F3-G3)</f>
        <v>48575</v>
      </c>
      <c r="I3" s="158" t="s">
        <v>958</v>
      </c>
    </row>
    <row r="4" spans="1:9" x14ac:dyDescent="0.25">
      <c r="A4" s="158" t="s">
        <v>898</v>
      </c>
      <c r="B4" s="158" t="s">
        <v>959</v>
      </c>
      <c r="C4" s="158" t="s">
        <v>956</v>
      </c>
      <c r="D4" s="158" t="s">
        <v>957</v>
      </c>
      <c r="E4" s="66">
        <v>12000</v>
      </c>
      <c r="F4" s="69">
        <f>IFERROR(SUMIFS(Cash_Flow!$F$3:$F$1002,Cash_Flow!$G$3:$G$1002,A4,Cash_Flow!$D$3:$D$1002,"Inflow"),0)</f>
        <v>0</v>
      </c>
      <c r="G4" s="69">
        <f>IFERROR(SUMIFS(Cash_Flow!$F$3:$F$1002,Cash_Flow!$G$3:$G$1002,A4,Cash_Flow!$D$3:$D$1002,"Outflow"),0)</f>
        <v>86200</v>
      </c>
      <c r="H4" s="157">
        <f t="shared" si="0"/>
        <v>-74200</v>
      </c>
      <c r="I4" s="158" t="s">
        <v>960</v>
      </c>
    </row>
    <row r="5" spans="1:9" x14ac:dyDescent="0.25">
      <c r="A5" s="158" t="s">
        <v>919</v>
      </c>
      <c r="B5" s="158" t="s">
        <v>961</v>
      </c>
      <c r="C5" s="158" t="s">
        <v>956</v>
      </c>
      <c r="D5" s="158" t="s">
        <v>962</v>
      </c>
      <c r="E5" s="66">
        <v>18000</v>
      </c>
      <c r="F5" s="69">
        <f>IFERROR(SUMIFS(Cash_Flow!$F$3:$F$1002,Cash_Flow!$G$3:$G$1002,A5,Cash_Flow!$D$3:$D$1002,"Inflow"),0)</f>
        <v>0</v>
      </c>
      <c r="G5" s="69">
        <f>IFERROR(SUMIFS(Cash_Flow!$F$3:$F$1002,Cash_Flow!$G$3:$G$1002,A5,Cash_Flow!$D$3:$D$1002,"Outflow"),0)</f>
        <v>4200</v>
      </c>
      <c r="H5" s="157">
        <f t="shared" si="0"/>
        <v>13800</v>
      </c>
      <c r="I5" s="158" t="s">
        <v>963</v>
      </c>
    </row>
    <row r="6" spans="1:9" x14ac:dyDescent="0.25">
      <c r="A6" s="158" t="s">
        <v>964</v>
      </c>
      <c r="B6" s="158" t="s">
        <v>965</v>
      </c>
      <c r="C6" s="158" t="s">
        <v>956</v>
      </c>
      <c r="D6" s="158" t="s">
        <v>966</v>
      </c>
      <c r="E6" s="66">
        <v>500</v>
      </c>
      <c r="F6" s="69">
        <f>IFERROR(SUMIFS(Cash_Flow!$F$3:$F$1002,Cash_Flow!$G$3:$G$1002,A6,Cash_Flow!$D$3:$D$1002,"Inflow"),0)</f>
        <v>0</v>
      </c>
      <c r="G6" s="69">
        <f>IFERROR(SUMIFS(Cash_Flow!$F$3:$F$1002,Cash_Flow!$G$3:$G$1002,A6,Cash_Flow!$D$3:$D$1002,"Outflow"),0)</f>
        <v>0</v>
      </c>
      <c r="H6" s="157">
        <f t="shared" si="0"/>
        <v>500</v>
      </c>
      <c r="I6" s="158" t="s">
        <v>967</v>
      </c>
    </row>
    <row r="7" spans="1:9" x14ac:dyDescent="0.25">
      <c r="A7" s="158" t="s">
        <v>903</v>
      </c>
      <c r="B7" s="158" t="s">
        <v>968</v>
      </c>
      <c r="C7" s="158" t="s">
        <v>956</v>
      </c>
      <c r="D7" s="158" t="s">
        <v>969</v>
      </c>
      <c r="E7" s="66">
        <v>8000</v>
      </c>
      <c r="F7" s="69">
        <f>IFERROR(SUMIFS(Cash_Flow!$F$3:$F$1002,Cash_Flow!$G$3:$G$1002,A7,Cash_Flow!$D$3:$D$1002,"Inflow"),0)</f>
        <v>0</v>
      </c>
      <c r="G7" s="69">
        <f>IFERROR(SUMIFS(Cash_Flow!$F$3:$F$1002,Cash_Flow!$G$3:$G$1002,A7,Cash_Flow!$D$3:$D$1002,"Outflow"),0)</f>
        <v>1280</v>
      </c>
      <c r="H7" s="157">
        <f t="shared" si="0"/>
        <v>6720</v>
      </c>
      <c r="I7" s="158" t="s">
        <v>970</v>
      </c>
    </row>
    <row r="8" spans="1:9" x14ac:dyDescent="0.25">
      <c r="A8" s="158"/>
      <c r="B8" s="158"/>
      <c r="C8" s="158"/>
      <c r="D8" s="158"/>
      <c r="E8" s="66"/>
      <c r="F8" s="69">
        <f>IFERROR(SUMIFS(Cash_Flow!$F$3:$F$1002,Cash_Flow!$G$3:$G$1002,A8,Cash_Flow!$D$3:$D$1002,"Inflow"),0)</f>
        <v>0</v>
      </c>
      <c r="G8" s="69">
        <f>IFERROR(SUMIFS(Cash_Flow!$F$3:$F$1002,Cash_Flow!$G$3:$G$1002,A8,Cash_Flow!$D$3:$D$1002,"Outflow"),0)</f>
        <v>0</v>
      </c>
      <c r="H8" s="157" t="str">
        <f t="shared" si="0"/>
        <v/>
      </c>
      <c r="I8" s="158"/>
    </row>
    <row r="9" spans="1:9" x14ac:dyDescent="0.25">
      <c r="A9" s="158"/>
      <c r="B9" s="158"/>
      <c r="C9" s="158"/>
      <c r="D9" s="158"/>
      <c r="E9" s="66"/>
      <c r="F9" s="69">
        <f>IFERROR(SUMIFS(Cash_Flow!$F$3:$F$1002,Cash_Flow!$G$3:$G$1002,A9,Cash_Flow!$D$3:$D$1002,"Inflow"),0)</f>
        <v>0</v>
      </c>
      <c r="G9" s="69">
        <f>IFERROR(SUMIFS(Cash_Flow!$F$3:$F$1002,Cash_Flow!$G$3:$G$1002,A9,Cash_Flow!$D$3:$D$1002,"Outflow"),0)</f>
        <v>0</v>
      </c>
      <c r="H9" s="157" t="str">
        <f t="shared" si="0"/>
        <v/>
      </c>
      <c r="I9" s="158"/>
    </row>
    <row r="10" spans="1:9" x14ac:dyDescent="0.25">
      <c r="A10" s="158"/>
      <c r="B10" s="158"/>
      <c r="C10" s="158"/>
      <c r="D10" s="158"/>
      <c r="E10" s="66"/>
      <c r="F10" s="69">
        <f>IFERROR(SUMIFS(Cash_Flow!$F$3:$F$1002,Cash_Flow!$G$3:$G$1002,A10,Cash_Flow!$D$3:$D$1002,"Inflow"),0)</f>
        <v>0</v>
      </c>
      <c r="G10" s="69">
        <f>IFERROR(SUMIFS(Cash_Flow!$F$3:$F$1002,Cash_Flow!$G$3:$G$1002,A10,Cash_Flow!$D$3:$D$1002,"Outflow"),0)</f>
        <v>0</v>
      </c>
      <c r="H10" s="157" t="str">
        <f t="shared" si="0"/>
        <v/>
      </c>
      <c r="I10" s="158"/>
    </row>
    <row r="11" spans="1:9" x14ac:dyDescent="0.25">
      <c r="A11" s="158"/>
      <c r="B11" s="158"/>
      <c r="C11" s="158"/>
      <c r="D11" s="158"/>
      <c r="E11" s="66"/>
      <c r="F11" s="69">
        <f>IFERROR(SUMIFS(Cash_Flow!$F$3:$F$1002,Cash_Flow!$G$3:$G$1002,A11,Cash_Flow!$D$3:$D$1002,"Inflow"),0)</f>
        <v>0</v>
      </c>
      <c r="G11" s="69">
        <f>IFERROR(SUMIFS(Cash_Flow!$F$3:$F$1002,Cash_Flow!$G$3:$G$1002,A11,Cash_Flow!$D$3:$D$1002,"Outflow"),0)</f>
        <v>0</v>
      </c>
      <c r="H11" s="157" t="str">
        <f t="shared" si="0"/>
        <v/>
      </c>
      <c r="I11" s="158"/>
    </row>
    <row r="12" spans="1:9" x14ac:dyDescent="0.25">
      <c r="A12" s="158"/>
      <c r="B12" s="158"/>
      <c r="C12" s="158"/>
      <c r="D12" s="158"/>
      <c r="E12" s="66"/>
      <c r="F12" s="69">
        <f>IFERROR(SUMIFS(Cash_Flow!$F$3:$F$1002,Cash_Flow!$G$3:$G$1002,A12,Cash_Flow!$D$3:$D$1002,"Inflow"),0)</f>
        <v>0</v>
      </c>
      <c r="G12" s="69">
        <f>IFERROR(SUMIFS(Cash_Flow!$F$3:$F$1002,Cash_Flow!$G$3:$G$1002,A12,Cash_Flow!$D$3:$D$1002,"Outflow"),0)</f>
        <v>0</v>
      </c>
      <c r="H12" s="157" t="str">
        <f t="shared" si="0"/>
        <v/>
      </c>
      <c r="I12" s="158"/>
    </row>
    <row r="13" spans="1:9" x14ac:dyDescent="0.25">
      <c r="A13" s="158"/>
      <c r="B13" s="158"/>
      <c r="C13" s="158"/>
      <c r="D13" s="158"/>
      <c r="E13" s="66"/>
      <c r="F13" s="69">
        <f>IFERROR(SUMIFS(Cash_Flow!$F$3:$F$1002,Cash_Flow!$G$3:$G$1002,A13,Cash_Flow!$D$3:$D$1002,"Inflow"),0)</f>
        <v>0</v>
      </c>
      <c r="G13" s="69">
        <f>IFERROR(SUMIFS(Cash_Flow!$F$3:$F$1002,Cash_Flow!$G$3:$G$1002,A13,Cash_Flow!$D$3:$D$1002,"Outflow"),0)</f>
        <v>0</v>
      </c>
      <c r="H13" s="157" t="str">
        <f t="shared" si="0"/>
        <v/>
      </c>
      <c r="I13" s="158"/>
    </row>
    <row r="14" spans="1:9" x14ac:dyDescent="0.25">
      <c r="A14" s="158"/>
      <c r="B14" s="158"/>
      <c r="C14" s="158"/>
      <c r="D14" s="158"/>
      <c r="E14" s="66"/>
      <c r="F14" s="69">
        <f>IFERROR(SUMIFS(Cash_Flow!$F$3:$F$1002,Cash_Flow!$G$3:$G$1002,A14,Cash_Flow!$D$3:$D$1002,"Inflow"),0)</f>
        <v>0</v>
      </c>
      <c r="G14" s="69">
        <f>IFERROR(SUMIFS(Cash_Flow!$F$3:$F$1002,Cash_Flow!$G$3:$G$1002,A14,Cash_Flow!$D$3:$D$1002,"Outflow"),0)</f>
        <v>0</v>
      </c>
      <c r="H14" s="157" t="str">
        <f t="shared" si="0"/>
        <v/>
      </c>
      <c r="I14" s="158"/>
    </row>
    <row r="15" spans="1:9" x14ac:dyDescent="0.25">
      <c r="A15" s="158"/>
      <c r="B15" s="158"/>
      <c r="C15" s="158"/>
      <c r="D15" s="158"/>
      <c r="E15" s="66"/>
      <c r="F15" s="69">
        <f>IFERROR(SUMIFS(Cash_Flow!$F$3:$F$1002,Cash_Flow!$G$3:$G$1002,A15,Cash_Flow!$D$3:$D$1002,"Inflow"),0)</f>
        <v>0</v>
      </c>
      <c r="G15" s="69">
        <f>IFERROR(SUMIFS(Cash_Flow!$F$3:$F$1002,Cash_Flow!$G$3:$G$1002,A15,Cash_Flow!$D$3:$D$1002,"Outflow"),0)</f>
        <v>0</v>
      </c>
      <c r="H15" s="157" t="str">
        <f t="shared" si="0"/>
        <v/>
      </c>
      <c r="I15" s="158"/>
    </row>
    <row r="16" spans="1:9" x14ac:dyDescent="0.25">
      <c r="A16" s="158"/>
      <c r="B16" s="158"/>
      <c r="C16" s="158"/>
      <c r="D16" s="158"/>
      <c r="E16" s="66"/>
      <c r="F16" s="69">
        <f>IFERROR(SUMIFS(Cash_Flow!$F$3:$F$1002,Cash_Flow!$G$3:$G$1002,A16,Cash_Flow!$D$3:$D$1002,"Inflow"),0)</f>
        <v>0</v>
      </c>
      <c r="G16" s="69">
        <f>IFERROR(SUMIFS(Cash_Flow!$F$3:$F$1002,Cash_Flow!$G$3:$G$1002,A16,Cash_Flow!$D$3:$D$1002,"Outflow"),0)</f>
        <v>0</v>
      </c>
      <c r="H16" s="157" t="str">
        <f t="shared" si="0"/>
        <v/>
      </c>
      <c r="I16" s="158"/>
    </row>
    <row r="17" spans="1:9" x14ac:dyDescent="0.25">
      <c r="A17" s="158"/>
      <c r="B17" s="158"/>
      <c r="C17" s="158"/>
      <c r="D17" s="158"/>
      <c r="E17" s="66"/>
      <c r="F17" s="69">
        <f>IFERROR(SUMIFS(Cash_Flow!$F$3:$F$1002,Cash_Flow!$G$3:$G$1002,A17,Cash_Flow!$D$3:$D$1002,"Inflow"),0)</f>
        <v>0</v>
      </c>
      <c r="G17" s="69">
        <f>IFERROR(SUMIFS(Cash_Flow!$F$3:$F$1002,Cash_Flow!$G$3:$G$1002,A17,Cash_Flow!$D$3:$D$1002,"Outflow"),0)</f>
        <v>0</v>
      </c>
      <c r="H17" s="157" t="str">
        <f t="shared" si="0"/>
        <v/>
      </c>
      <c r="I17" s="158"/>
    </row>
    <row r="18" spans="1:9" x14ac:dyDescent="0.25">
      <c r="A18" s="158"/>
      <c r="B18" s="158"/>
      <c r="C18" s="158"/>
      <c r="D18" s="158"/>
      <c r="E18" s="66"/>
      <c r="F18" s="69">
        <f>IFERROR(SUMIFS(Cash_Flow!$F$3:$F$1002,Cash_Flow!$G$3:$G$1002,A18,Cash_Flow!$D$3:$D$1002,"Inflow"),0)</f>
        <v>0</v>
      </c>
      <c r="G18" s="69">
        <f>IFERROR(SUMIFS(Cash_Flow!$F$3:$F$1002,Cash_Flow!$G$3:$G$1002,A18,Cash_Flow!$D$3:$D$1002,"Outflow"),0)</f>
        <v>0</v>
      </c>
      <c r="H18" s="157" t="str">
        <f t="shared" si="0"/>
        <v/>
      </c>
      <c r="I18" s="158"/>
    </row>
    <row r="19" spans="1:9" x14ac:dyDescent="0.25">
      <c r="A19" s="158"/>
      <c r="B19" s="158"/>
      <c r="C19" s="158"/>
      <c r="D19" s="158"/>
      <c r="E19" s="66"/>
      <c r="F19" s="69">
        <f>IFERROR(SUMIFS(Cash_Flow!$F$3:$F$1002,Cash_Flow!$G$3:$G$1002,A19,Cash_Flow!$D$3:$D$1002,"Inflow"),0)</f>
        <v>0</v>
      </c>
      <c r="G19" s="69">
        <f>IFERROR(SUMIFS(Cash_Flow!$F$3:$F$1002,Cash_Flow!$G$3:$G$1002,A19,Cash_Flow!$D$3:$D$1002,"Outflow"),0)</f>
        <v>0</v>
      </c>
      <c r="H19" s="157" t="str">
        <f t="shared" si="0"/>
        <v/>
      </c>
      <c r="I19" s="158"/>
    </row>
    <row r="20" spans="1:9" x14ac:dyDescent="0.25">
      <c r="A20" s="158"/>
      <c r="B20" s="158"/>
      <c r="C20" s="158"/>
      <c r="D20" s="158"/>
      <c r="E20" s="66"/>
      <c r="F20" s="69">
        <f>IFERROR(SUMIFS(Cash_Flow!$F$3:$F$1002,Cash_Flow!$G$3:$G$1002,A20,Cash_Flow!$D$3:$D$1002,"Inflow"),0)</f>
        <v>0</v>
      </c>
      <c r="G20" s="69">
        <f>IFERROR(SUMIFS(Cash_Flow!$F$3:$F$1002,Cash_Flow!$G$3:$G$1002,A20,Cash_Flow!$D$3:$D$1002,"Outflow"),0)</f>
        <v>0</v>
      </c>
      <c r="H20" s="157" t="str">
        <f t="shared" si="0"/>
        <v/>
      </c>
      <c r="I20" s="158"/>
    </row>
    <row r="21" spans="1:9" x14ac:dyDescent="0.25">
      <c r="A21" s="158"/>
      <c r="B21" s="158"/>
      <c r="C21" s="158"/>
      <c r="D21" s="158"/>
      <c r="E21" s="66"/>
      <c r="F21" s="69">
        <f>IFERROR(SUMIFS(Cash_Flow!$F$3:$F$1002,Cash_Flow!$G$3:$G$1002,A21,Cash_Flow!$D$3:$D$1002,"Inflow"),0)</f>
        <v>0</v>
      </c>
      <c r="G21" s="69">
        <f>IFERROR(SUMIFS(Cash_Flow!$F$3:$F$1002,Cash_Flow!$G$3:$G$1002,A21,Cash_Flow!$D$3:$D$1002,"Outflow"),0)</f>
        <v>0</v>
      </c>
      <c r="H21" s="157" t="str">
        <f t="shared" si="0"/>
        <v/>
      </c>
      <c r="I21" s="158"/>
    </row>
    <row r="22" spans="1:9" x14ac:dyDescent="0.25">
      <c r="A22" s="158"/>
      <c r="B22" s="158"/>
      <c r="C22" s="158"/>
      <c r="D22" s="158"/>
      <c r="E22" s="66"/>
      <c r="F22" s="69">
        <f>IFERROR(SUMIFS(Cash_Flow!$F$3:$F$1002,Cash_Flow!$G$3:$G$1002,A22,Cash_Flow!$D$3:$D$1002,"Inflow"),0)</f>
        <v>0</v>
      </c>
      <c r="G22" s="69">
        <f>IFERROR(SUMIFS(Cash_Flow!$F$3:$F$1002,Cash_Flow!$G$3:$G$1002,A22,Cash_Flow!$D$3:$D$1002,"Outflow"),0)</f>
        <v>0</v>
      </c>
      <c r="H22" s="157" t="str">
        <f t="shared" si="0"/>
        <v/>
      </c>
      <c r="I22" s="158"/>
    </row>
    <row r="23" spans="1:9" x14ac:dyDescent="0.25">
      <c r="A23" s="61"/>
      <c r="B23" s="61"/>
      <c r="C23" s="61"/>
      <c r="D23" s="61"/>
      <c r="E23" s="61"/>
      <c r="F23" s="61"/>
      <c r="G23" s="61"/>
      <c r="H23" s="61"/>
      <c r="I23" s="61"/>
    </row>
    <row r="24" spans="1:9" x14ac:dyDescent="0.25">
      <c r="A24" s="61"/>
      <c r="B24" s="61"/>
      <c r="C24" s="61"/>
      <c r="D24" s="61"/>
      <c r="E24" s="61"/>
      <c r="F24" s="61"/>
      <c r="G24" s="61"/>
      <c r="H24" s="61"/>
      <c r="I24" s="61"/>
    </row>
    <row r="25" spans="1:9" x14ac:dyDescent="0.25">
      <c r="A25" s="159" t="s">
        <v>794</v>
      </c>
      <c r="B25" s="61"/>
      <c r="C25" s="61"/>
      <c r="D25" s="61"/>
      <c r="E25" s="70">
        <f>SUM(E3:E22)</f>
        <v>63500</v>
      </c>
      <c r="F25" s="70">
        <f>SUM(F3:F22)</f>
        <v>35000</v>
      </c>
      <c r="G25" s="70">
        <f>SUM(G3:G22)</f>
        <v>103105</v>
      </c>
      <c r="H25" s="160">
        <f>SUM(H3:H22)</f>
        <v>-4605</v>
      </c>
      <c r="I25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H3:H22">
    <cfRule type="cellIs" dxfId="37" priority="2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BF8F00"/>
  </sheetPr>
  <dimension ref="A1:M204"/>
  <sheetViews>
    <sheetView zoomScaleNormal="100" workbookViewId="0">
      <pane ySplit="2" topLeftCell="A3" activePane="bottomLeft" state="frozen"/>
      <selection pane="bottomLeft" sqref="A1:M1"/>
    </sheetView>
  </sheetViews>
  <sheetFormatPr defaultColWidth="8.7109375" defaultRowHeight="15" x14ac:dyDescent="0.25"/>
  <cols>
    <col min="1" max="1" width="14" customWidth="1"/>
    <col min="2" max="2" width="12" customWidth="1"/>
    <col min="3" max="3" width="22" customWidth="1"/>
    <col min="4" max="6" width="12" customWidth="1"/>
    <col min="7" max="7" width="14" customWidth="1"/>
    <col min="8" max="8" width="12" customWidth="1"/>
    <col min="9" max="10" width="14" customWidth="1"/>
    <col min="11" max="12" width="16" customWidth="1"/>
    <col min="13" max="13" width="14" customWidth="1"/>
  </cols>
  <sheetData>
    <row r="1" spans="1:13" ht="30" customHeight="1" x14ac:dyDescent="0.25">
      <c r="A1" s="71" t="s">
        <v>1027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7.75" customHeight="1" x14ac:dyDescent="0.25">
      <c r="A2" s="63" t="s">
        <v>1028</v>
      </c>
      <c r="B2" s="63" t="s">
        <v>20</v>
      </c>
      <c r="C2" s="63" t="s">
        <v>19</v>
      </c>
      <c r="D2" s="63" t="s">
        <v>21</v>
      </c>
      <c r="E2" s="63" t="s">
        <v>1029</v>
      </c>
      <c r="F2" s="63" t="s">
        <v>1030</v>
      </c>
      <c r="G2" s="63" t="s">
        <v>306</v>
      </c>
      <c r="H2" s="63" t="s">
        <v>1031</v>
      </c>
      <c r="I2" s="63" t="s">
        <v>522</v>
      </c>
      <c r="J2" s="63" t="s">
        <v>1032</v>
      </c>
      <c r="K2" s="63" t="s">
        <v>1033</v>
      </c>
      <c r="L2" s="63" t="s">
        <v>804</v>
      </c>
      <c r="M2" s="63" t="s">
        <v>23</v>
      </c>
    </row>
    <row r="3" spans="1:13" ht="26.25" customHeight="1" x14ac:dyDescent="0.25">
      <c r="A3" s="92" t="s">
        <v>1034</v>
      </c>
      <c r="B3" s="93" t="s">
        <v>312</v>
      </c>
      <c r="C3" s="97" t="str">
        <f t="shared" ref="C3:C34" si="0">IFERROR(VLOOKUP(B3,Projects_Table,2,FALSE()),"")</f>
        <v>Anastasiou</v>
      </c>
      <c r="D3" s="93" t="s">
        <v>1035</v>
      </c>
      <c r="E3" s="94">
        <v>46096</v>
      </c>
      <c r="F3" s="98">
        <f t="shared" ref="F3:F17" si="1">E3+Balance_Due_Days</f>
        <v>46126</v>
      </c>
      <c r="G3" s="95">
        <f>IFERROR(Deposit_Pct*VLOOKUP(B3,Projects_Table,13,FALSE()),0)</f>
        <v>7400</v>
      </c>
      <c r="H3" s="104">
        <f t="shared" ref="H3:H17" si="2">G3*VAT_Rate</f>
        <v>1406</v>
      </c>
      <c r="I3" s="104">
        <f t="shared" ref="I3:I17" si="3">G3+H3</f>
        <v>8806</v>
      </c>
      <c r="J3" s="94">
        <v>46101</v>
      </c>
      <c r="K3" s="95">
        <f t="shared" ref="K3:K17" si="4">IF(M3="Paid",I3,IF(M3="Partial",0,0))</f>
        <v>8806</v>
      </c>
      <c r="L3" s="104">
        <f t="shared" ref="L3:L17" si="5">I3-K3</f>
        <v>0</v>
      </c>
      <c r="M3" s="93" t="s">
        <v>1036</v>
      </c>
    </row>
    <row r="4" spans="1:13" ht="26.25" customHeight="1" x14ac:dyDescent="0.25">
      <c r="A4" s="92" t="s">
        <v>1037</v>
      </c>
      <c r="B4" s="93" t="s">
        <v>316</v>
      </c>
      <c r="C4" s="97" t="str">
        <f t="shared" si="0"/>
        <v>Savvas</v>
      </c>
      <c r="D4" s="93" t="s">
        <v>1035</v>
      </c>
      <c r="E4" s="94">
        <v>46113</v>
      </c>
      <c r="F4" s="98">
        <f t="shared" si="1"/>
        <v>46143</v>
      </c>
      <c r="G4" s="95">
        <f>IFERROR(Deposit_Pct*VLOOKUP(B4,Projects_Table,13,FALSE()),0)</f>
        <v>2720</v>
      </c>
      <c r="H4" s="104">
        <f t="shared" si="2"/>
        <v>516.79999999999995</v>
      </c>
      <c r="I4" s="104">
        <f t="shared" si="3"/>
        <v>3236.8</v>
      </c>
      <c r="J4" s="77"/>
      <c r="K4" s="161">
        <f t="shared" si="4"/>
        <v>0</v>
      </c>
      <c r="L4" s="104">
        <f t="shared" si="5"/>
        <v>3236.8</v>
      </c>
      <c r="M4" s="93" t="s">
        <v>1038</v>
      </c>
    </row>
    <row r="5" spans="1:13" ht="26.25" customHeight="1" x14ac:dyDescent="0.25">
      <c r="A5" s="92" t="s">
        <v>1039</v>
      </c>
      <c r="B5" s="93" t="s">
        <v>359</v>
      </c>
      <c r="C5" s="97" t="str">
        <f t="shared" si="0"/>
        <v>Kolitiki Ltd</v>
      </c>
      <c r="D5" s="93" t="s">
        <v>1035</v>
      </c>
      <c r="E5" s="94">
        <v>46082</v>
      </c>
      <c r="F5" s="98">
        <f t="shared" si="1"/>
        <v>46112</v>
      </c>
      <c r="G5" s="95">
        <f>IFERROR(Deposit_Pct*VLOOKUP(B5,Projects_Table,13,FALSE()),0)</f>
        <v>1680</v>
      </c>
      <c r="H5" s="104">
        <f t="shared" si="2"/>
        <v>319.2</v>
      </c>
      <c r="I5" s="104">
        <f t="shared" si="3"/>
        <v>1999.2</v>
      </c>
      <c r="J5" s="94">
        <v>46086</v>
      </c>
      <c r="K5" s="95">
        <f t="shared" si="4"/>
        <v>1999.2</v>
      </c>
      <c r="L5" s="104">
        <f t="shared" si="5"/>
        <v>0</v>
      </c>
      <c r="M5" s="93" t="s">
        <v>1036</v>
      </c>
    </row>
    <row r="6" spans="1:13" ht="26.25" customHeight="1" x14ac:dyDescent="0.25">
      <c r="A6" s="92" t="s">
        <v>1040</v>
      </c>
      <c r="B6" s="93" t="s">
        <v>359</v>
      </c>
      <c r="C6" s="97" t="str">
        <f t="shared" si="0"/>
        <v>Kolitiki Ltd</v>
      </c>
      <c r="D6" s="93" t="s">
        <v>1041</v>
      </c>
      <c r="E6" s="94">
        <v>46128</v>
      </c>
      <c r="F6" s="98">
        <f t="shared" si="1"/>
        <v>46158</v>
      </c>
      <c r="G6" s="95">
        <f>IFERROR(0.3*VLOOKUP(B6,Projects_Table,13,FALSE()),0)</f>
        <v>1260</v>
      </c>
      <c r="H6" s="104">
        <f t="shared" si="2"/>
        <v>239.4</v>
      </c>
      <c r="I6" s="104">
        <f t="shared" si="3"/>
        <v>1499.4</v>
      </c>
      <c r="J6" s="94">
        <v>46130</v>
      </c>
      <c r="K6" s="95">
        <f t="shared" si="4"/>
        <v>1499.4</v>
      </c>
      <c r="L6" s="104">
        <f t="shared" si="5"/>
        <v>0</v>
      </c>
      <c r="M6" s="93" t="s">
        <v>1036</v>
      </c>
    </row>
    <row r="7" spans="1:13" ht="26.25" customHeight="1" x14ac:dyDescent="0.25">
      <c r="A7" s="92" t="s">
        <v>1042</v>
      </c>
      <c r="B7" s="93" t="s">
        <v>363</v>
      </c>
      <c r="C7" s="97" t="str">
        <f t="shared" si="0"/>
        <v>Leonida &amp; Sons</v>
      </c>
      <c r="D7" s="93" t="s">
        <v>1035</v>
      </c>
      <c r="E7" s="94">
        <v>46073</v>
      </c>
      <c r="F7" s="98">
        <f t="shared" si="1"/>
        <v>46103</v>
      </c>
      <c r="G7" s="95">
        <f>IFERROR(Deposit_Pct*VLOOKUP(B7,Projects_Table,13,FALSE()),0)</f>
        <v>1520</v>
      </c>
      <c r="H7" s="104">
        <f t="shared" si="2"/>
        <v>288.8</v>
      </c>
      <c r="I7" s="104">
        <f t="shared" si="3"/>
        <v>1808.8</v>
      </c>
      <c r="J7" s="94">
        <v>46078</v>
      </c>
      <c r="K7" s="95">
        <f t="shared" si="4"/>
        <v>1808.8</v>
      </c>
      <c r="L7" s="104">
        <f t="shared" si="5"/>
        <v>0</v>
      </c>
      <c r="M7" s="93" t="s">
        <v>1036</v>
      </c>
    </row>
    <row r="8" spans="1:13" ht="26.25" customHeight="1" x14ac:dyDescent="0.25">
      <c r="A8" s="92" t="s">
        <v>1043</v>
      </c>
      <c r="B8" s="93" t="s">
        <v>363</v>
      </c>
      <c r="C8" s="97" t="str">
        <f t="shared" si="0"/>
        <v>Leonida &amp; Sons</v>
      </c>
      <c r="D8" s="93" t="s">
        <v>1041</v>
      </c>
      <c r="E8" s="94">
        <v>46096</v>
      </c>
      <c r="F8" s="98">
        <f t="shared" si="1"/>
        <v>46126</v>
      </c>
      <c r="G8" s="95">
        <f>IFERROR(0.3*VLOOKUP(B8,Projects_Table,13,FALSE()),0)</f>
        <v>1140</v>
      </c>
      <c r="H8" s="104">
        <f t="shared" si="2"/>
        <v>216.6</v>
      </c>
      <c r="I8" s="104">
        <f t="shared" si="3"/>
        <v>1356.6</v>
      </c>
      <c r="J8" s="94">
        <v>46101</v>
      </c>
      <c r="K8" s="95">
        <f t="shared" si="4"/>
        <v>1356.6</v>
      </c>
      <c r="L8" s="104">
        <f t="shared" si="5"/>
        <v>0</v>
      </c>
      <c r="M8" s="93" t="s">
        <v>1036</v>
      </c>
    </row>
    <row r="9" spans="1:13" ht="26.25" customHeight="1" x14ac:dyDescent="0.25">
      <c r="A9" s="92" t="s">
        <v>1044</v>
      </c>
      <c r="B9" s="93" t="s">
        <v>373</v>
      </c>
      <c r="C9" s="97" t="str">
        <f t="shared" si="0"/>
        <v>Dimitris V.</v>
      </c>
      <c r="D9" s="93" t="s">
        <v>1035</v>
      </c>
      <c r="E9" s="94">
        <v>46082</v>
      </c>
      <c r="F9" s="98">
        <f t="shared" si="1"/>
        <v>46112</v>
      </c>
      <c r="G9" s="95">
        <f>IFERROR(Deposit_Pct*VLOOKUP(B9,Projects_Table,13,FALSE()),0)</f>
        <v>9000</v>
      </c>
      <c r="H9" s="104">
        <f t="shared" si="2"/>
        <v>1710</v>
      </c>
      <c r="I9" s="104">
        <f t="shared" si="3"/>
        <v>10710</v>
      </c>
      <c r="J9" s="94">
        <v>46091</v>
      </c>
      <c r="K9" s="95">
        <f t="shared" si="4"/>
        <v>10710</v>
      </c>
      <c r="L9" s="104">
        <f t="shared" si="5"/>
        <v>0</v>
      </c>
      <c r="M9" s="93" t="s">
        <v>1036</v>
      </c>
    </row>
    <row r="10" spans="1:13" ht="26.25" customHeight="1" x14ac:dyDescent="0.25">
      <c r="A10" s="92" t="s">
        <v>1045</v>
      </c>
      <c r="B10" s="93" t="s">
        <v>373</v>
      </c>
      <c r="C10" s="97" t="str">
        <f t="shared" si="0"/>
        <v>Dimitris V.</v>
      </c>
      <c r="D10" s="93" t="s">
        <v>465</v>
      </c>
      <c r="E10" s="94">
        <v>46113</v>
      </c>
      <c r="F10" s="98">
        <f t="shared" si="1"/>
        <v>46143</v>
      </c>
      <c r="G10" s="95">
        <f>IFERROR(0.3*VLOOKUP(B10,Projects_Table,13,FALSE()),0)</f>
        <v>6750</v>
      </c>
      <c r="H10" s="104">
        <f t="shared" si="2"/>
        <v>1282.5</v>
      </c>
      <c r="I10" s="104">
        <f t="shared" si="3"/>
        <v>8032.5</v>
      </c>
      <c r="J10" s="77"/>
      <c r="K10" s="161">
        <f t="shared" si="4"/>
        <v>0</v>
      </c>
      <c r="L10" s="104">
        <f t="shared" si="5"/>
        <v>8032.5</v>
      </c>
      <c r="M10" s="93" t="s">
        <v>1038</v>
      </c>
    </row>
    <row r="11" spans="1:13" ht="26.25" customHeight="1" x14ac:dyDescent="0.25">
      <c r="A11" s="92" t="s">
        <v>1046</v>
      </c>
      <c r="B11" s="93" t="s">
        <v>322</v>
      </c>
      <c r="C11" s="97" t="str">
        <f t="shared" si="0"/>
        <v>George Petrou</v>
      </c>
      <c r="D11" s="93" t="s">
        <v>1035</v>
      </c>
      <c r="E11" s="94">
        <v>46118</v>
      </c>
      <c r="F11" s="98">
        <f t="shared" si="1"/>
        <v>46148</v>
      </c>
      <c r="G11" s="95">
        <f>IFERROR(Deposit_Pct*VLOOKUP(B11,Projects_Table,13,FALSE()),0)</f>
        <v>3680</v>
      </c>
      <c r="H11" s="104">
        <f t="shared" si="2"/>
        <v>699.2</v>
      </c>
      <c r="I11" s="104">
        <f t="shared" si="3"/>
        <v>4379.2</v>
      </c>
      <c r="J11" s="94">
        <v>46122</v>
      </c>
      <c r="K11" s="95">
        <f t="shared" si="4"/>
        <v>4379.2</v>
      </c>
      <c r="L11" s="104">
        <f t="shared" si="5"/>
        <v>0</v>
      </c>
      <c r="M11" s="93" t="s">
        <v>1036</v>
      </c>
    </row>
    <row r="12" spans="1:13" ht="26.25" customHeight="1" x14ac:dyDescent="0.25">
      <c r="A12" s="92" t="s">
        <v>1047</v>
      </c>
      <c r="B12" s="93" t="s">
        <v>324</v>
      </c>
      <c r="C12" s="97" t="str">
        <f t="shared" si="0"/>
        <v>Angelis</v>
      </c>
      <c r="D12" s="93" t="s">
        <v>1035</v>
      </c>
      <c r="E12" s="94">
        <v>46122</v>
      </c>
      <c r="F12" s="98">
        <f t="shared" si="1"/>
        <v>46152</v>
      </c>
      <c r="G12" s="95">
        <f>IFERROR(Deposit_Pct*VLOOKUP(B12,Projects_Table,13,FALSE()),0)</f>
        <v>4560</v>
      </c>
      <c r="H12" s="104">
        <f t="shared" si="2"/>
        <v>866.4</v>
      </c>
      <c r="I12" s="104">
        <f t="shared" si="3"/>
        <v>5426.4</v>
      </c>
      <c r="J12" s="77"/>
      <c r="K12" s="161">
        <f t="shared" si="4"/>
        <v>0</v>
      </c>
      <c r="L12" s="104">
        <f t="shared" si="5"/>
        <v>5426.4</v>
      </c>
      <c r="M12" s="93" t="s">
        <v>1038</v>
      </c>
    </row>
    <row r="13" spans="1:13" ht="26.25" customHeight="1" x14ac:dyDescent="0.25">
      <c r="A13" s="92" t="s">
        <v>1048</v>
      </c>
      <c r="B13" s="93" t="s">
        <v>326</v>
      </c>
      <c r="C13" s="97" t="str">
        <f t="shared" si="0"/>
        <v>Hadjipanayi</v>
      </c>
      <c r="D13" s="93" t="s">
        <v>1035</v>
      </c>
      <c r="E13" s="94">
        <v>46127</v>
      </c>
      <c r="F13" s="98">
        <f t="shared" si="1"/>
        <v>46157</v>
      </c>
      <c r="G13" s="95">
        <f>IFERROR(Deposit_Pct*VLOOKUP(B13,Projects_Table,13,FALSE()),0)</f>
        <v>6720</v>
      </c>
      <c r="H13" s="104">
        <f t="shared" si="2"/>
        <v>1276.8</v>
      </c>
      <c r="I13" s="104">
        <f t="shared" si="3"/>
        <v>7996.8</v>
      </c>
      <c r="J13" s="77"/>
      <c r="K13" s="161">
        <f t="shared" si="4"/>
        <v>0</v>
      </c>
      <c r="L13" s="104">
        <f t="shared" si="5"/>
        <v>7996.8</v>
      </c>
      <c r="M13" s="93" t="s">
        <v>1049</v>
      </c>
    </row>
    <row r="14" spans="1:13" ht="26.25" customHeight="1" x14ac:dyDescent="0.25">
      <c r="A14" s="92" t="s">
        <v>1050</v>
      </c>
      <c r="B14" s="93" t="s">
        <v>385</v>
      </c>
      <c r="C14" s="97" t="str">
        <f t="shared" si="0"/>
        <v>Eleni R.</v>
      </c>
      <c r="D14" s="93" t="s">
        <v>1035</v>
      </c>
      <c r="E14" s="94">
        <v>46054</v>
      </c>
      <c r="F14" s="98">
        <f t="shared" si="1"/>
        <v>46084</v>
      </c>
      <c r="G14" s="95">
        <f>IFERROR(Deposit_Pct*VLOOKUP(B14,Projects_Table,13,FALSE()),0)</f>
        <v>1120</v>
      </c>
      <c r="H14" s="104">
        <f t="shared" si="2"/>
        <v>212.8</v>
      </c>
      <c r="I14" s="104">
        <f t="shared" si="3"/>
        <v>1332.8</v>
      </c>
      <c r="J14" s="94">
        <v>46058</v>
      </c>
      <c r="K14" s="95">
        <f t="shared" si="4"/>
        <v>1332.8</v>
      </c>
      <c r="L14" s="104">
        <f t="shared" si="5"/>
        <v>0</v>
      </c>
      <c r="M14" s="93" t="s">
        <v>1036</v>
      </c>
    </row>
    <row r="15" spans="1:13" ht="26.25" customHeight="1" x14ac:dyDescent="0.25">
      <c r="A15" s="92" t="s">
        <v>1051</v>
      </c>
      <c r="B15" s="93" t="s">
        <v>385</v>
      </c>
      <c r="C15" s="97" t="str">
        <f t="shared" si="0"/>
        <v>Eleni R.</v>
      </c>
      <c r="D15" s="93" t="s">
        <v>1041</v>
      </c>
      <c r="E15" s="94">
        <v>46101</v>
      </c>
      <c r="F15" s="98">
        <f t="shared" si="1"/>
        <v>46131</v>
      </c>
      <c r="G15" s="95">
        <f>IFERROR(0.3*VLOOKUP(B15,Projects_Table,13,FALSE()),0)</f>
        <v>840</v>
      </c>
      <c r="H15" s="104">
        <f t="shared" si="2"/>
        <v>159.6</v>
      </c>
      <c r="I15" s="104">
        <f t="shared" si="3"/>
        <v>999.6</v>
      </c>
      <c r="J15" s="94">
        <v>46106</v>
      </c>
      <c r="K15" s="95">
        <f t="shared" si="4"/>
        <v>999.6</v>
      </c>
      <c r="L15" s="104">
        <f t="shared" si="5"/>
        <v>0</v>
      </c>
      <c r="M15" s="93" t="s">
        <v>1036</v>
      </c>
    </row>
    <row r="16" spans="1:13" ht="26.25" customHeight="1" x14ac:dyDescent="0.25">
      <c r="A16" s="92" t="s">
        <v>1052</v>
      </c>
      <c r="B16" s="93" t="s">
        <v>330</v>
      </c>
      <c r="C16" s="97" t="str">
        <f t="shared" si="0"/>
        <v>Nikoletta</v>
      </c>
      <c r="D16" s="93" t="s">
        <v>1035</v>
      </c>
      <c r="E16" s="94">
        <v>46082</v>
      </c>
      <c r="F16" s="98">
        <f t="shared" si="1"/>
        <v>46112</v>
      </c>
      <c r="G16" s="95">
        <f>IFERROR(Deposit_Pct*VLOOKUP(B16,Projects_Table,13,FALSE()),0)</f>
        <v>2240</v>
      </c>
      <c r="H16" s="104">
        <f t="shared" si="2"/>
        <v>425.6</v>
      </c>
      <c r="I16" s="104">
        <f t="shared" si="3"/>
        <v>2665.6</v>
      </c>
      <c r="J16" s="94">
        <v>46091</v>
      </c>
      <c r="K16" s="95">
        <f t="shared" si="4"/>
        <v>2665.6</v>
      </c>
      <c r="L16" s="104">
        <f t="shared" si="5"/>
        <v>0</v>
      </c>
      <c r="M16" s="93" t="s">
        <v>1036</v>
      </c>
    </row>
    <row r="17" spans="1:13" ht="26.25" customHeight="1" x14ac:dyDescent="0.25">
      <c r="A17" s="92" t="s">
        <v>1053</v>
      </c>
      <c r="B17" s="93" t="s">
        <v>328</v>
      </c>
      <c r="C17" s="97" t="str">
        <f t="shared" si="0"/>
        <v>Sergei</v>
      </c>
      <c r="D17" s="93" t="s">
        <v>1035</v>
      </c>
      <c r="E17" s="94">
        <v>46132</v>
      </c>
      <c r="F17" s="98">
        <f t="shared" si="1"/>
        <v>46162</v>
      </c>
      <c r="G17" s="95">
        <f>IFERROR(Deposit_Pct*VLOOKUP(B17,Projects_Table,13,FALSE()),0)</f>
        <v>11400</v>
      </c>
      <c r="H17" s="104">
        <f t="shared" si="2"/>
        <v>2166</v>
      </c>
      <c r="I17" s="104">
        <f t="shared" si="3"/>
        <v>13566</v>
      </c>
      <c r="J17" s="77"/>
      <c r="K17" s="161">
        <f t="shared" si="4"/>
        <v>0</v>
      </c>
      <c r="L17" s="104">
        <f t="shared" si="5"/>
        <v>13566</v>
      </c>
      <c r="M17" s="93" t="s">
        <v>1049</v>
      </c>
    </row>
    <row r="18" spans="1:13" ht="15" customHeight="1" x14ac:dyDescent="0.25">
      <c r="A18" s="77"/>
      <c r="B18" s="77"/>
      <c r="C18" s="97" t="str">
        <f t="shared" si="0"/>
        <v/>
      </c>
      <c r="D18" s="77"/>
      <c r="E18" s="77"/>
      <c r="F18" s="98" t="str">
        <f t="shared" ref="F18:F49" si="6">IF(E18="","",E18+Balance_Due_Days)</f>
        <v/>
      </c>
      <c r="G18" s="77"/>
      <c r="H18" s="104">
        <f t="shared" ref="H18:H49" si="7">IFERROR(G18*VAT_Rate,0)</f>
        <v>0</v>
      </c>
      <c r="I18" s="104">
        <f t="shared" ref="I18:I49" si="8">IFERROR(G18+H18,0)</f>
        <v>0</v>
      </c>
      <c r="J18" s="77"/>
      <c r="K18" s="77"/>
      <c r="L18" s="104">
        <f t="shared" ref="L18:L49" si="9">IFERROR(I18-K18,0)</f>
        <v>0</v>
      </c>
      <c r="M18" s="77"/>
    </row>
    <row r="19" spans="1:13" ht="15" customHeight="1" x14ac:dyDescent="0.25">
      <c r="A19" s="77"/>
      <c r="B19" s="77"/>
      <c r="C19" s="97" t="str">
        <f t="shared" si="0"/>
        <v/>
      </c>
      <c r="D19" s="77"/>
      <c r="E19" s="77"/>
      <c r="F19" s="98" t="str">
        <f t="shared" si="6"/>
        <v/>
      </c>
      <c r="G19" s="77"/>
      <c r="H19" s="104">
        <f t="shared" si="7"/>
        <v>0</v>
      </c>
      <c r="I19" s="104">
        <f t="shared" si="8"/>
        <v>0</v>
      </c>
      <c r="J19" s="77"/>
      <c r="K19" s="77"/>
      <c r="L19" s="104">
        <f t="shared" si="9"/>
        <v>0</v>
      </c>
      <c r="M19" s="77"/>
    </row>
    <row r="20" spans="1:13" ht="15" customHeight="1" x14ac:dyDescent="0.25">
      <c r="A20" s="77"/>
      <c r="B20" s="77"/>
      <c r="C20" s="97" t="str">
        <f t="shared" si="0"/>
        <v/>
      </c>
      <c r="D20" s="77"/>
      <c r="E20" s="77"/>
      <c r="F20" s="98" t="str">
        <f t="shared" si="6"/>
        <v/>
      </c>
      <c r="G20" s="77"/>
      <c r="H20" s="104">
        <f t="shared" si="7"/>
        <v>0</v>
      </c>
      <c r="I20" s="104">
        <f t="shared" si="8"/>
        <v>0</v>
      </c>
      <c r="J20" s="77"/>
      <c r="K20" s="77"/>
      <c r="L20" s="104">
        <f t="shared" si="9"/>
        <v>0</v>
      </c>
      <c r="M20" s="77"/>
    </row>
    <row r="21" spans="1:13" ht="15" customHeight="1" x14ac:dyDescent="0.25">
      <c r="A21" s="77"/>
      <c r="B21" s="77"/>
      <c r="C21" s="97" t="str">
        <f t="shared" si="0"/>
        <v/>
      </c>
      <c r="D21" s="77"/>
      <c r="E21" s="77"/>
      <c r="F21" s="98" t="str">
        <f t="shared" si="6"/>
        <v/>
      </c>
      <c r="G21" s="77"/>
      <c r="H21" s="104">
        <f t="shared" si="7"/>
        <v>0</v>
      </c>
      <c r="I21" s="104">
        <f t="shared" si="8"/>
        <v>0</v>
      </c>
      <c r="J21" s="77"/>
      <c r="K21" s="77"/>
      <c r="L21" s="104">
        <f t="shared" si="9"/>
        <v>0</v>
      </c>
      <c r="M21" s="77"/>
    </row>
    <row r="22" spans="1:13" ht="15" customHeight="1" x14ac:dyDescent="0.25">
      <c r="A22" s="77"/>
      <c r="B22" s="77"/>
      <c r="C22" s="97" t="str">
        <f t="shared" si="0"/>
        <v/>
      </c>
      <c r="D22" s="77"/>
      <c r="E22" s="77"/>
      <c r="F22" s="98" t="str">
        <f t="shared" si="6"/>
        <v/>
      </c>
      <c r="G22" s="77"/>
      <c r="H22" s="104">
        <f t="shared" si="7"/>
        <v>0</v>
      </c>
      <c r="I22" s="104">
        <f t="shared" si="8"/>
        <v>0</v>
      </c>
      <c r="J22" s="77"/>
      <c r="K22" s="77"/>
      <c r="L22" s="104">
        <f t="shared" si="9"/>
        <v>0</v>
      </c>
      <c r="M22" s="77"/>
    </row>
    <row r="23" spans="1:13" ht="15" customHeight="1" x14ac:dyDescent="0.25">
      <c r="A23" s="77"/>
      <c r="B23" s="77"/>
      <c r="C23" s="97" t="str">
        <f t="shared" si="0"/>
        <v/>
      </c>
      <c r="D23" s="77"/>
      <c r="E23" s="77"/>
      <c r="F23" s="98" t="str">
        <f t="shared" si="6"/>
        <v/>
      </c>
      <c r="G23" s="77"/>
      <c r="H23" s="104">
        <f t="shared" si="7"/>
        <v>0</v>
      </c>
      <c r="I23" s="104">
        <f t="shared" si="8"/>
        <v>0</v>
      </c>
      <c r="J23" s="77"/>
      <c r="K23" s="77"/>
      <c r="L23" s="104">
        <f t="shared" si="9"/>
        <v>0</v>
      </c>
      <c r="M23" s="77"/>
    </row>
    <row r="24" spans="1:13" ht="15" customHeight="1" x14ac:dyDescent="0.25">
      <c r="A24" s="77"/>
      <c r="B24" s="77"/>
      <c r="C24" s="97" t="str">
        <f t="shared" si="0"/>
        <v/>
      </c>
      <c r="D24" s="77"/>
      <c r="E24" s="77"/>
      <c r="F24" s="98" t="str">
        <f t="shared" si="6"/>
        <v/>
      </c>
      <c r="G24" s="77"/>
      <c r="H24" s="104">
        <f t="shared" si="7"/>
        <v>0</v>
      </c>
      <c r="I24" s="104">
        <f t="shared" si="8"/>
        <v>0</v>
      </c>
      <c r="J24" s="77"/>
      <c r="K24" s="77"/>
      <c r="L24" s="104">
        <f t="shared" si="9"/>
        <v>0</v>
      </c>
      <c r="M24" s="77"/>
    </row>
    <row r="25" spans="1:13" ht="15" customHeight="1" x14ac:dyDescent="0.25">
      <c r="A25" s="77"/>
      <c r="B25" s="77"/>
      <c r="C25" s="97" t="str">
        <f t="shared" si="0"/>
        <v/>
      </c>
      <c r="D25" s="77"/>
      <c r="E25" s="77"/>
      <c r="F25" s="98" t="str">
        <f t="shared" si="6"/>
        <v/>
      </c>
      <c r="G25" s="77"/>
      <c r="H25" s="104">
        <f t="shared" si="7"/>
        <v>0</v>
      </c>
      <c r="I25" s="104">
        <f t="shared" si="8"/>
        <v>0</v>
      </c>
      <c r="J25" s="77"/>
      <c r="K25" s="77"/>
      <c r="L25" s="104">
        <f t="shared" si="9"/>
        <v>0</v>
      </c>
      <c r="M25" s="77"/>
    </row>
    <row r="26" spans="1:13" ht="15" customHeight="1" x14ac:dyDescent="0.25">
      <c r="A26" s="77"/>
      <c r="B26" s="77"/>
      <c r="C26" s="97" t="str">
        <f t="shared" si="0"/>
        <v/>
      </c>
      <c r="D26" s="77"/>
      <c r="E26" s="77"/>
      <c r="F26" s="98" t="str">
        <f t="shared" si="6"/>
        <v/>
      </c>
      <c r="G26" s="77"/>
      <c r="H26" s="104">
        <f t="shared" si="7"/>
        <v>0</v>
      </c>
      <c r="I26" s="104">
        <f t="shared" si="8"/>
        <v>0</v>
      </c>
      <c r="J26" s="77"/>
      <c r="K26" s="77"/>
      <c r="L26" s="104">
        <f t="shared" si="9"/>
        <v>0</v>
      </c>
      <c r="M26" s="77"/>
    </row>
    <row r="27" spans="1:13" ht="15" customHeight="1" x14ac:dyDescent="0.25">
      <c r="A27" s="77"/>
      <c r="B27" s="77"/>
      <c r="C27" s="97" t="str">
        <f t="shared" si="0"/>
        <v/>
      </c>
      <c r="D27" s="77"/>
      <c r="E27" s="77"/>
      <c r="F27" s="98" t="str">
        <f t="shared" si="6"/>
        <v/>
      </c>
      <c r="G27" s="77"/>
      <c r="H27" s="104">
        <f t="shared" si="7"/>
        <v>0</v>
      </c>
      <c r="I27" s="104">
        <f t="shared" si="8"/>
        <v>0</v>
      </c>
      <c r="J27" s="77"/>
      <c r="K27" s="77"/>
      <c r="L27" s="104">
        <f t="shared" si="9"/>
        <v>0</v>
      </c>
      <c r="M27" s="77"/>
    </row>
    <row r="28" spans="1:13" ht="15" customHeight="1" x14ac:dyDescent="0.25">
      <c r="A28" s="77"/>
      <c r="B28" s="77"/>
      <c r="C28" s="97" t="str">
        <f t="shared" si="0"/>
        <v/>
      </c>
      <c r="D28" s="77"/>
      <c r="E28" s="77"/>
      <c r="F28" s="98" t="str">
        <f t="shared" si="6"/>
        <v/>
      </c>
      <c r="G28" s="77"/>
      <c r="H28" s="104">
        <f t="shared" si="7"/>
        <v>0</v>
      </c>
      <c r="I28" s="104">
        <f t="shared" si="8"/>
        <v>0</v>
      </c>
      <c r="J28" s="77"/>
      <c r="K28" s="77"/>
      <c r="L28" s="104">
        <f t="shared" si="9"/>
        <v>0</v>
      </c>
      <c r="M28" s="77"/>
    </row>
    <row r="29" spans="1:13" ht="15" customHeight="1" x14ac:dyDescent="0.25">
      <c r="A29" s="77"/>
      <c r="B29" s="77"/>
      <c r="C29" s="97" t="str">
        <f t="shared" si="0"/>
        <v/>
      </c>
      <c r="D29" s="77"/>
      <c r="E29" s="77"/>
      <c r="F29" s="98" t="str">
        <f t="shared" si="6"/>
        <v/>
      </c>
      <c r="G29" s="77"/>
      <c r="H29" s="104">
        <f t="shared" si="7"/>
        <v>0</v>
      </c>
      <c r="I29" s="104">
        <f t="shared" si="8"/>
        <v>0</v>
      </c>
      <c r="J29" s="77"/>
      <c r="K29" s="77"/>
      <c r="L29" s="104">
        <f t="shared" si="9"/>
        <v>0</v>
      </c>
      <c r="M29" s="77"/>
    </row>
    <row r="30" spans="1:13" ht="15" customHeight="1" x14ac:dyDescent="0.25">
      <c r="A30" s="77"/>
      <c r="B30" s="77"/>
      <c r="C30" s="97" t="str">
        <f t="shared" si="0"/>
        <v/>
      </c>
      <c r="D30" s="77"/>
      <c r="E30" s="77"/>
      <c r="F30" s="98" t="str">
        <f t="shared" si="6"/>
        <v/>
      </c>
      <c r="G30" s="77"/>
      <c r="H30" s="104">
        <f t="shared" si="7"/>
        <v>0</v>
      </c>
      <c r="I30" s="104">
        <f t="shared" si="8"/>
        <v>0</v>
      </c>
      <c r="J30" s="77"/>
      <c r="K30" s="77"/>
      <c r="L30" s="104">
        <f t="shared" si="9"/>
        <v>0</v>
      </c>
      <c r="M30" s="77"/>
    </row>
    <row r="31" spans="1:13" ht="15" customHeight="1" x14ac:dyDescent="0.25">
      <c r="A31" s="77"/>
      <c r="B31" s="77"/>
      <c r="C31" s="97" t="str">
        <f t="shared" si="0"/>
        <v/>
      </c>
      <c r="D31" s="77"/>
      <c r="E31" s="77"/>
      <c r="F31" s="98" t="str">
        <f t="shared" si="6"/>
        <v/>
      </c>
      <c r="G31" s="77"/>
      <c r="H31" s="104">
        <f t="shared" si="7"/>
        <v>0</v>
      </c>
      <c r="I31" s="104">
        <f t="shared" si="8"/>
        <v>0</v>
      </c>
      <c r="J31" s="77"/>
      <c r="K31" s="77"/>
      <c r="L31" s="104">
        <f t="shared" si="9"/>
        <v>0</v>
      </c>
      <c r="M31" s="77"/>
    </row>
    <row r="32" spans="1:13" ht="15" customHeight="1" x14ac:dyDescent="0.25">
      <c r="A32" s="77"/>
      <c r="B32" s="77"/>
      <c r="C32" s="97" t="str">
        <f t="shared" si="0"/>
        <v/>
      </c>
      <c r="D32" s="77"/>
      <c r="E32" s="77"/>
      <c r="F32" s="98" t="str">
        <f t="shared" si="6"/>
        <v/>
      </c>
      <c r="G32" s="77"/>
      <c r="H32" s="104">
        <f t="shared" si="7"/>
        <v>0</v>
      </c>
      <c r="I32" s="104">
        <f t="shared" si="8"/>
        <v>0</v>
      </c>
      <c r="J32" s="77"/>
      <c r="K32" s="77"/>
      <c r="L32" s="104">
        <f t="shared" si="9"/>
        <v>0</v>
      </c>
      <c r="M32" s="77"/>
    </row>
    <row r="33" spans="1:13" ht="15" customHeight="1" x14ac:dyDescent="0.25">
      <c r="A33" s="77"/>
      <c r="B33" s="77"/>
      <c r="C33" s="97" t="str">
        <f t="shared" si="0"/>
        <v/>
      </c>
      <c r="D33" s="77"/>
      <c r="E33" s="77"/>
      <c r="F33" s="98" t="str">
        <f t="shared" si="6"/>
        <v/>
      </c>
      <c r="G33" s="77"/>
      <c r="H33" s="104">
        <f t="shared" si="7"/>
        <v>0</v>
      </c>
      <c r="I33" s="104">
        <f t="shared" si="8"/>
        <v>0</v>
      </c>
      <c r="J33" s="77"/>
      <c r="K33" s="77"/>
      <c r="L33" s="104">
        <f t="shared" si="9"/>
        <v>0</v>
      </c>
      <c r="M33" s="77"/>
    </row>
    <row r="34" spans="1:13" ht="15" customHeight="1" x14ac:dyDescent="0.25">
      <c r="A34" s="77"/>
      <c r="B34" s="77"/>
      <c r="C34" s="97" t="str">
        <f t="shared" si="0"/>
        <v/>
      </c>
      <c r="D34" s="77"/>
      <c r="E34" s="77"/>
      <c r="F34" s="98" t="str">
        <f t="shared" si="6"/>
        <v/>
      </c>
      <c r="G34" s="77"/>
      <c r="H34" s="104">
        <f t="shared" si="7"/>
        <v>0</v>
      </c>
      <c r="I34" s="104">
        <f t="shared" si="8"/>
        <v>0</v>
      </c>
      <c r="J34" s="77"/>
      <c r="K34" s="77"/>
      <c r="L34" s="104">
        <f t="shared" si="9"/>
        <v>0</v>
      </c>
      <c r="M34" s="77"/>
    </row>
    <row r="35" spans="1:13" ht="15" customHeight="1" x14ac:dyDescent="0.25">
      <c r="A35" s="77"/>
      <c r="B35" s="77"/>
      <c r="C35" s="97" t="str">
        <f t="shared" ref="C35:C66" si="10">IFERROR(VLOOKUP(B35,Projects_Table,2,FALSE()),"")</f>
        <v/>
      </c>
      <c r="D35" s="77"/>
      <c r="E35" s="77"/>
      <c r="F35" s="98" t="str">
        <f t="shared" si="6"/>
        <v/>
      </c>
      <c r="G35" s="77"/>
      <c r="H35" s="104">
        <f t="shared" si="7"/>
        <v>0</v>
      </c>
      <c r="I35" s="104">
        <f t="shared" si="8"/>
        <v>0</v>
      </c>
      <c r="J35" s="77"/>
      <c r="K35" s="77"/>
      <c r="L35" s="104">
        <f t="shared" si="9"/>
        <v>0</v>
      </c>
      <c r="M35" s="77"/>
    </row>
    <row r="36" spans="1:13" ht="15" customHeight="1" x14ac:dyDescent="0.25">
      <c r="A36" s="77"/>
      <c r="B36" s="77"/>
      <c r="C36" s="97" t="str">
        <f t="shared" si="10"/>
        <v/>
      </c>
      <c r="D36" s="77"/>
      <c r="E36" s="77"/>
      <c r="F36" s="98" t="str">
        <f t="shared" si="6"/>
        <v/>
      </c>
      <c r="G36" s="77"/>
      <c r="H36" s="104">
        <f t="shared" si="7"/>
        <v>0</v>
      </c>
      <c r="I36" s="104">
        <f t="shared" si="8"/>
        <v>0</v>
      </c>
      <c r="J36" s="77"/>
      <c r="K36" s="77"/>
      <c r="L36" s="104">
        <f t="shared" si="9"/>
        <v>0</v>
      </c>
      <c r="M36" s="77"/>
    </row>
    <row r="37" spans="1:13" ht="15" customHeight="1" x14ac:dyDescent="0.25">
      <c r="A37" s="77"/>
      <c r="B37" s="77"/>
      <c r="C37" s="97" t="str">
        <f t="shared" si="10"/>
        <v/>
      </c>
      <c r="D37" s="77"/>
      <c r="E37" s="77"/>
      <c r="F37" s="98" t="str">
        <f t="shared" si="6"/>
        <v/>
      </c>
      <c r="G37" s="77"/>
      <c r="H37" s="104">
        <f t="shared" si="7"/>
        <v>0</v>
      </c>
      <c r="I37" s="104">
        <f t="shared" si="8"/>
        <v>0</v>
      </c>
      <c r="J37" s="77"/>
      <c r="K37" s="77"/>
      <c r="L37" s="104">
        <f t="shared" si="9"/>
        <v>0</v>
      </c>
      <c r="M37" s="77"/>
    </row>
    <row r="38" spans="1:13" ht="15" customHeight="1" x14ac:dyDescent="0.25">
      <c r="A38" s="77"/>
      <c r="B38" s="77"/>
      <c r="C38" s="97" t="str">
        <f t="shared" si="10"/>
        <v/>
      </c>
      <c r="D38" s="77"/>
      <c r="E38" s="77"/>
      <c r="F38" s="98" t="str">
        <f t="shared" si="6"/>
        <v/>
      </c>
      <c r="G38" s="77"/>
      <c r="H38" s="104">
        <f t="shared" si="7"/>
        <v>0</v>
      </c>
      <c r="I38" s="104">
        <f t="shared" si="8"/>
        <v>0</v>
      </c>
      <c r="J38" s="77"/>
      <c r="K38" s="77"/>
      <c r="L38" s="104">
        <f t="shared" si="9"/>
        <v>0</v>
      </c>
      <c r="M38" s="77"/>
    </row>
    <row r="39" spans="1:13" ht="15" customHeight="1" x14ac:dyDescent="0.25">
      <c r="A39" s="77"/>
      <c r="B39" s="77"/>
      <c r="C39" s="97" t="str">
        <f t="shared" si="10"/>
        <v/>
      </c>
      <c r="D39" s="77"/>
      <c r="E39" s="77"/>
      <c r="F39" s="98" t="str">
        <f t="shared" si="6"/>
        <v/>
      </c>
      <c r="G39" s="77"/>
      <c r="H39" s="104">
        <f t="shared" si="7"/>
        <v>0</v>
      </c>
      <c r="I39" s="104">
        <f t="shared" si="8"/>
        <v>0</v>
      </c>
      <c r="J39" s="77"/>
      <c r="K39" s="77"/>
      <c r="L39" s="104">
        <f t="shared" si="9"/>
        <v>0</v>
      </c>
      <c r="M39" s="77"/>
    </row>
    <row r="40" spans="1:13" ht="15" customHeight="1" x14ac:dyDescent="0.25">
      <c r="A40" s="77"/>
      <c r="B40" s="77"/>
      <c r="C40" s="97" t="str">
        <f t="shared" si="10"/>
        <v/>
      </c>
      <c r="D40" s="77"/>
      <c r="E40" s="77"/>
      <c r="F40" s="98" t="str">
        <f t="shared" si="6"/>
        <v/>
      </c>
      <c r="G40" s="77"/>
      <c r="H40" s="104">
        <f t="shared" si="7"/>
        <v>0</v>
      </c>
      <c r="I40" s="104">
        <f t="shared" si="8"/>
        <v>0</v>
      </c>
      <c r="J40" s="77"/>
      <c r="K40" s="77"/>
      <c r="L40" s="104">
        <f t="shared" si="9"/>
        <v>0</v>
      </c>
      <c r="M40" s="77"/>
    </row>
    <row r="41" spans="1:13" ht="15" customHeight="1" x14ac:dyDescent="0.25">
      <c r="A41" s="77"/>
      <c r="B41" s="77"/>
      <c r="C41" s="97" t="str">
        <f t="shared" si="10"/>
        <v/>
      </c>
      <c r="D41" s="77"/>
      <c r="E41" s="77"/>
      <c r="F41" s="98" t="str">
        <f t="shared" si="6"/>
        <v/>
      </c>
      <c r="G41" s="77"/>
      <c r="H41" s="104">
        <f t="shared" si="7"/>
        <v>0</v>
      </c>
      <c r="I41" s="104">
        <f t="shared" si="8"/>
        <v>0</v>
      </c>
      <c r="J41" s="77"/>
      <c r="K41" s="77"/>
      <c r="L41" s="104">
        <f t="shared" si="9"/>
        <v>0</v>
      </c>
      <c r="M41" s="77"/>
    </row>
    <row r="42" spans="1:13" ht="15" customHeight="1" x14ac:dyDescent="0.25">
      <c r="A42" s="77"/>
      <c r="B42" s="77"/>
      <c r="C42" s="97" t="str">
        <f t="shared" si="10"/>
        <v/>
      </c>
      <c r="D42" s="77"/>
      <c r="E42" s="77"/>
      <c r="F42" s="98" t="str">
        <f t="shared" si="6"/>
        <v/>
      </c>
      <c r="G42" s="77"/>
      <c r="H42" s="104">
        <f t="shared" si="7"/>
        <v>0</v>
      </c>
      <c r="I42" s="104">
        <f t="shared" si="8"/>
        <v>0</v>
      </c>
      <c r="J42" s="77"/>
      <c r="K42" s="77"/>
      <c r="L42" s="104">
        <f t="shared" si="9"/>
        <v>0</v>
      </c>
      <c r="M42" s="77"/>
    </row>
    <row r="43" spans="1:13" ht="15" customHeight="1" x14ac:dyDescent="0.25">
      <c r="A43" s="77"/>
      <c r="B43" s="77"/>
      <c r="C43" s="97" t="str">
        <f t="shared" si="10"/>
        <v/>
      </c>
      <c r="D43" s="77"/>
      <c r="E43" s="77"/>
      <c r="F43" s="98" t="str">
        <f t="shared" si="6"/>
        <v/>
      </c>
      <c r="G43" s="77"/>
      <c r="H43" s="104">
        <f t="shared" si="7"/>
        <v>0</v>
      </c>
      <c r="I43" s="104">
        <f t="shared" si="8"/>
        <v>0</v>
      </c>
      <c r="J43" s="77"/>
      <c r="K43" s="77"/>
      <c r="L43" s="104">
        <f t="shared" si="9"/>
        <v>0</v>
      </c>
      <c r="M43" s="77"/>
    </row>
    <row r="44" spans="1:13" ht="15" customHeight="1" x14ac:dyDescent="0.25">
      <c r="A44" s="77"/>
      <c r="B44" s="77"/>
      <c r="C44" s="97" t="str">
        <f t="shared" si="10"/>
        <v/>
      </c>
      <c r="D44" s="77"/>
      <c r="E44" s="77"/>
      <c r="F44" s="98" t="str">
        <f t="shared" si="6"/>
        <v/>
      </c>
      <c r="G44" s="77"/>
      <c r="H44" s="104">
        <f t="shared" si="7"/>
        <v>0</v>
      </c>
      <c r="I44" s="104">
        <f t="shared" si="8"/>
        <v>0</v>
      </c>
      <c r="J44" s="77"/>
      <c r="K44" s="77"/>
      <c r="L44" s="104">
        <f t="shared" si="9"/>
        <v>0</v>
      </c>
      <c r="M44" s="77"/>
    </row>
    <row r="45" spans="1:13" ht="15" customHeight="1" x14ac:dyDescent="0.25">
      <c r="A45" s="77"/>
      <c r="B45" s="77"/>
      <c r="C45" s="97" t="str">
        <f t="shared" si="10"/>
        <v/>
      </c>
      <c r="D45" s="77"/>
      <c r="E45" s="77"/>
      <c r="F45" s="98" t="str">
        <f t="shared" si="6"/>
        <v/>
      </c>
      <c r="G45" s="77"/>
      <c r="H45" s="104">
        <f t="shared" si="7"/>
        <v>0</v>
      </c>
      <c r="I45" s="104">
        <f t="shared" si="8"/>
        <v>0</v>
      </c>
      <c r="J45" s="77"/>
      <c r="K45" s="77"/>
      <c r="L45" s="104">
        <f t="shared" si="9"/>
        <v>0</v>
      </c>
      <c r="M45" s="77"/>
    </row>
    <row r="46" spans="1:13" ht="15" customHeight="1" x14ac:dyDescent="0.25">
      <c r="A46" s="77"/>
      <c r="B46" s="77"/>
      <c r="C46" s="97" t="str">
        <f t="shared" si="10"/>
        <v/>
      </c>
      <c r="D46" s="77"/>
      <c r="E46" s="77"/>
      <c r="F46" s="98" t="str">
        <f t="shared" si="6"/>
        <v/>
      </c>
      <c r="G46" s="77"/>
      <c r="H46" s="104">
        <f t="shared" si="7"/>
        <v>0</v>
      </c>
      <c r="I46" s="104">
        <f t="shared" si="8"/>
        <v>0</v>
      </c>
      <c r="J46" s="77"/>
      <c r="K46" s="77"/>
      <c r="L46" s="104">
        <f t="shared" si="9"/>
        <v>0</v>
      </c>
      <c r="M46" s="77"/>
    </row>
    <row r="47" spans="1:13" ht="15" customHeight="1" x14ac:dyDescent="0.25">
      <c r="A47" s="77"/>
      <c r="B47" s="77"/>
      <c r="C47" s="97" t="str">
        <f t="shared" si="10"/>
        <v/>
      </c>
      <c r="D47" s="77"/>
      <c r="E47" s="77"/>
      <c r="F47" s="98" t="str">
        <f t="shared" si="6"/>
        <v/>
      </c>
      <c r="G47" s="77"/>
      <c r="H47" s="104">
        <f t="shared" si="7"/>
        <v>0</v>
      </c>
      <c r="I47" s="104">
        <f t="shared" si="8"/>
        <v>0</v>
      </c>
      <c r="J47" s="77"/>
      <c r="K47" s="77"/>
      <c r="L47" s="104">
        <f t="shared" si="9"/>
        <v>0</v>
      </c>
      <c r="M47" s="77"/>
    </row>
    <row r="48" spans="1:13" ht="15" customHeight="1" x14ac:dyDescent="0.25">
      <c r="A48" s="77"/>
      <c r="B48" s="77"/>
      <c r="C48" s="97" t="str">
        <f t="shared" si="10"/>
        <v/>
      </c>
      <c r="D48" s="77"/>
      <c r="E48" s="77"/>
      <c r="F48" s="98" t="str">
        <f t="shared" si="6"/>
        <v/>
      </c>
      <c r="G48" s="77"/>
      <c r="H48" s="104">
        <f t="shared" si="7"/>
        <v>0</v>
      </c>
      <c r="I48" s="104">
        <f t="shared" si="8"/>
        <v>0</v>
      </c>
      <c r="J48" s="77"/>
      <c r="K48" s="77"/>
      <c r="L48" s="104">
        <f t="shared" si="9"/>
        <v>0</v>
      </c>
      <c r="M48" s="77"/>
    </row>
    <row r="49" spans="1:13" ht="15" customHeight="1" x14ac:dyDescent="0.25">
      <c r="A49" s="77"/>
      <c r="B49" s="77"/>
      <c r="C49" s="97" t="str">
        <f t="shared" si="10"/>
        <v/>
      </c>
      <c r="D49" s="77"/>
      <c r="E49" s="77"/>
      <c r="F49" s="98" t="str">
        <f t="shared" si="6"/>
        <v/>
      </c>
      <c r="G49" s="77"/>
      <c r="H49" s="104">
        <f t="shared" si="7"/>
        <v>0</v>
      </c>
      <c r="I49" s="104">
        <f t="shared" si="8"/>
        <v>0</v>
      </c>
      <c r="J49" s="77"/>
      <c r="K49" s="77"/>
      <c r="L49" s="104">
        <f t="shared" si="9"/>
        <v>0</v>
      </c>
      <c r="M49" s="77"/>
    </row>
    <row r="50" spans="1:13" ht="15" customHeight="1" x14ac:dyDescent="0.25">
      <c r="A50" s="77"/>
      <c r="B50" s="77"/>
      <c r="C50" s="97" t="str">
        <f t="shared" si="10"/>
        <v/>
      </c>
      <c r="D50" s="77"/>
      <c r="E50" s="77"/>
      <c r="F50" s="98" t="str">
        <f t="shared" ref="F50:F81" si="11">IF(E50="","",E50+Balance_Due_Days)</f>
        <v/>
      </c>
      <c r="G50" s="77"/>
      <c r="H50" s="104">
        <f t="shared" ref="H50:H81" si="12">IFERROR(G50*VAT_Rate,0)</f>
        <v>0</v>
      </c>
      <c r="I50" s="104">
        <f t="shared" ref="I50:I81" si="13">IFERROR(G50+H50,0)</f>
        <v>0</v>
      </c>
      <c r="J50" s="77"/>
      <c r="K50" s="77"/>
      <c r="L50" s="104">
        <f t="shared" ref="L50:L81" si="14">IFERROR(I50-K50,0)</f>
        <v>0</v>
      </c>
      <c r="M50" s="77"/>
    </row>
    <row r="51" spans="1:13" ht="15" customHeight="1" x14ac:dyDescent="0.25">
      <c r="A51" s="77"/>
      <c r="B51" s="77"/>
      <c r="C51" s="97" t="str">
        <f t="shared" si="10"/>
        <v/>
      </c>
      <c r="D51" s="77"/>
      <c r="E51" s="77"/>
      <c r="F51" s="98" t="str">
        <f t="shared" si="11"/>
        <v/>
      </c>
      <c r="G51" s="77"/>
      <c r="H51" s="104">
        <f t="shared" si="12"/>
        <v>0</v>
      </c>
      <c r="I51" s="104">
        <f t="shared" si="13"/>
        <v>0</v>
      </c>
      <c r="J51" s="77"/>
      <c r="K51" s="77"/>
      <c r="L51" s="104">
        <f t="shared" si="14"/>
        <v>0</v>
      </c>
      <c r="M51" s="77"/>
    </row>
    <row r="52" spans="1:13" ht="15" customHeight="1" x14ac:dyDescent="0.25">
      <c r="A52" s="77"/>
      <c r="B52" s="77"/>
      <c r="C52" s="97" t="str">
        <f t="shared" si="10"/>
        <v/>
      </c>
      <c r="D52" s="77"/>
      <c r="E52" s="77"/>
      <c r="F52" s="98" t="str">
        <f t="shared" si="11"/>
        <v/>
      </c>
      <c r="G52" s="77"/>
      <c r="H52" s="104">
        <f t="shared" si="12"/>
        <v>0</v>
      </c>
      <c r="I52" s="104">
        <f t="shared" si="13"/>
        <v>0</v>
      </c>
      <c r="J52" s="77"/>
      <c r="K52" s="77"/>
      <c r="L52" s="104">
        <f t="shared" si="14"/>
        <v>0</v>
      </c>
      <c r="M52" s="77"/>
    </row>
    <row r="53" spans="1:13" ht="15" customHeight="1" x14ac:dyDescent="0.25">
      <c r="A53" s="77"/>
      <c r="B53" s="77"/>
      <c r="C53" s="97" t="str">
        <f t="shared" si="10"/>
        <v/>
      </c>
      <c r="D53" s="77"/>
      <c r="E53" s="77"/>
      <c r="F53" s="98" t="str">
        <f t="shared" si="11"/>
        <v/>
      </c>
      <c r="G53" s="77"/>
      <c r="H53" s="104">
        <f t="shared" si="12"/>
        <v>0</v>
      </c>
      <c r="I53" s="104">
        <f t="shared" si="13"/>
        <v>0</v>
      </c>
      <c r="J53" s="77"/>
      <c r="K53" s="77"/>
      <c r="L53" s="104">
        <f t="shared" si="14"/>
        <v>0</v>
      </c>
      <c r="M53" s="77"/>
    </row>
    <row r="54" spans="1:13" ht="15" customHeight="1" x14ac:dyDescent="0.25">
      <c r="A54" s="77"/>
      <c r="B54" s="77"/>
      <c r="C54" s="97" t="str">
        <f t="shared" si="10"/>
        <v/>
      </c>
      <c r="D54" s="77"/>
      <c r="E54" s="77"/>
      <c r="F54" s="98" t="str">
        <f t="shared" si="11"/>
        <v/>
      </c>
      <c r="G54" s="77"/>
      <c r="H54" s="104">
        <f t="shared" si="12"/>
        <v>0</v>
      </c>
      <c r="I54" s="104">
        <f t="shared" si="13"/>
        <v>0</v>
      </c>
      <c r="J54" s="77"/>
      <c r="K54" s="77"/>
      <c r="L54" s="104">
        <f t="shared" si="14"/>
        <v>0</v>
      </c>
      <c r="M54" s="77"/>
    </row>
    <row r="55" spans="1:13" ht="15" customHeight="1" x14ac:dyDescent="0.25">
      <c r="A55" s="77"/>
      <c r="B55" s="77"/>
      <c r="C55" s="97" t="str">
        <f t="shared" si="10"/>
        <v/>
      </c>
      <c r="D55" s="77"/>
      <c r="E55" s="77"/>
      <c r="F55" s="98" t="str">
        <f t="shared" si="11"/>
        <v/>
      </c>
      <c r="G55" s="77"/>
      <c r="H55" s="104">
        <f t="shared" si="12"/>
        <v>0</v>
      </c>
      <c r="I55" s="104">
        <f t="shared" si="13"/>
        <v>0</v>
      </c>
      <c r="J55" s="77"/>
      <c r="K55" s="77"/>
      <c r="L55" s="104">
        <f t="shared" si="14"/>
        <v>0</v>
      </c>
      <c r="M55" s="77"/>
    </row>
    <row r="56" spans="1:13" ht="15" customHeight="1" x14ac:dyDescent="0.25">
      <c r="A56" s="77"/>
      <c r="B56" s="77"/>
      <c r="C56" s="97" t="str">
        <f t="shared" si="10"/>
        <v/>
      </c>
      <c r="D56" s="77"/>
      <c r="E56" s="77"/>
      <c r="F56" s="98" t="str">
        <f t="shared" si="11"/>
        <v/>
      </c>
      <c r="G56" s="77"/>
      <c r="H56" s="104">
        <f t="shared" si="12"/>
        <v>0</v>
      </c>
      <c r="I56" s="104">
        <f t="shared" si="13"/>
        <v>0</v>
      </c>
      <c r="J56" s="77"/>
      <c r="K56" s="77"/>
      <c r="L56" s="104">
        <f t="shared" si="14"/>
        <v>0</v>
      </c>
      <c r="M56" s="77"/>
    </row>
    <row r="57" spans="1:13" ht="15" customHeight="1" x14ac:dyDescent="0.25">
      <c r="A57" s="77"/>
      <c r="B57" s="77"/>
      <c r="C57" s="97" t="str">
        <f t="shared" si="10"/>
        <v/>
      </c>
      <c r="D57" s="77"/>
      <c r="E57" s="77"/>
      <c r="F57" s="98" t="str">
        <f t="shared" si="11"/>
        <v/>
      </c>
      <c r="G57" s="77"/>
      <c r="H57" s="104">
        <f t="shared" si="12"/>
        <v>0</v>
      </c>
      <c r="I57" s="104">
        <f t="shared" si="13"/>
        <v>0</v>
      </c>
      <c r="J57" s="77"/>
      <c r="K57" s="77"/>
      <c r="L57" s="104">
        <f t="shared" si="14"/>
        <v>0</v>
      </c>
      <c r="M57" s="77"/>
    </row>
    <row r="58" spans="1:13" ht="15" customHeight="1" x14ac:dyDescent="0.25">
      <c r="A58" s="77"/>
      <c r="B58" s="77"/>
      <c r="C58" s="97" t="str">
        <f t="shared" si="10"/>
        <v/>
      </c>
      <c r="D58" s="77"/>
      <c r="E58" s="77"/>
      <c r="F58" s="98" t="str">
        <f t="shared" si="11"/>
        <v/>
      </c>
      <c r="G58" s="77"/>
      <c r="H58" s="104">
        <f t="shared" si="12"/>
        <v>0</v>
      </c>
      <c r="I58" s="104">
        <f t="shared" si="13"/>
        <v>0</v>
      </c>
      <c r="J58" s="77"/>
      <c r="K58" s="77"/>
      <c r="L58" s="104">
        <f t="shared" si="14"/>
        <v>0</v>
      </c>
      <c r="M58" s="77"/>
    </row>
    <row r="59" spans="1:13" ht="15" customHeight="1" x14ac:dyDescent="0.25">
      <c r="A59" s="77"/>
      <c r="B59" s="77"/>
      <c r="C59" s="97" t="str">
        <f t="shared" si="10"/>
        <v/>
      </c>
      <c r="D59" s="77"/>
      <c r="E59" s="77"/>
      <c r="F59" s="98" t="str">
        <f t="shared" si="11"/>
        <v/>
      </c>
      <c r="G59" s="77"/>
      <c r="H59" s="104">
        <f t="shared" si="12"/>
        <v>0</v>
      </c>
      <c r="I59" s="104">
        <f t="shared" si="13"/>
        <v>0</v>
      </c>
      <c r="J59" s="77"/>
      <c r="K59" s="77"/>
      <c r="L59" s="104">
        <f t="shared" si="14"/>
        <v>0</v>
      </c>
      <c r="M59" s="77"/>
    </row>
    <row r="60" spans="1:13" ht="15" customHeight="1" x14ac:dyDescent="0.25">
      <c r="A60" s="77"/>
      <c r="B60" s="77"/>
      <c r="C60" s="97" t="str">
        <f t="shared" si="10"/>
        <v/>
      </c>
      <c r="D60" s="77"/>
      <c r="E60" s="77"/>
      <c r="F60" s="98" t="str">
        <f t="shared" si="11"/>
        <v/>
      </c>
      <c r="G60" s="77"/>
      <c r="H60" s="104">
        <f t="shared" si="12"/>
        <v>0</v>
      </c>
      <c r="I60" s="104">
        <f t="shared" si="13"/>
        <v>0</v>
      </c>
      <c r="J60" s="77"/>
      <c r="K60" s="77"/>
      <c r="L60" s="104">
        <f t="shared" si="14"/>
        <v>0</v>
      </c>
      <c r="M60" s="77"/>
    </row>
    <row r="61" spans="1:13" ht="15" customHeight="1" x14ac:dyDescent="0.25">
      <c r="A61" s="77"/>
      <c r="B61" s="77"/>
      <c r="C61" s="97" t="str">
        <f t="shared" si="10"/>
        <v/>
      </c>
      <c r="D61" s="77"/>
      <c r="E61" s="77"/>
      <c r="F61" s="98" t="str">
        <f t="shared" si="11"/>
        <v/>
      </c>
      <c r="G61" s="77"/>
      <c r="H61" s="104">
        <f t="shared" si="12"/>
        <v>0</v>
      </c>
      <c r="I61" s="104">
        <f t="shared" si="13"/>
        <v>0</v>
      </c>
      <c r="J61" s="77"/>
      <c r="K61" s="77"/>
      <c r="L61" s="104">
        <f t="shared" si="14"/>
        <v>0</v>
      </c>
      <c r="M61" s="77"/>
    </row>
    <row r="62" spans="1:13" ht="15" customHeight="1" x14ac:dyDescent="0.25">
      <c r="A62" s="77"/>
      <c r="B62" s="77"/>
      <c r="C62" s="97" t="str">
        <f t="shared" si="10"/>
        <v/>
      </c>
      <c r="D62" s="77"/>
      <c r="E62" s="77"/>
      <c r="F62" s="98" t="str">
        <f t="shared" si="11"/>
        <v/>
      </c>
      <c r="G62" s="77"/>
      <c r="H62" s="104">
        <f t="shared" si="12"/>
        <v>0</v>
      </c>
      <c r="I62" s="104">
        <f t="shared" si="13"/>
        <v>0</v>
      </c>
      <c r="J62" s="77"/>
      <c r="K62" s="77"/>
      <c r="L62" s="104">
        <f t="shared" si="14"/>
        <v>0</v>
      </c>
      <c r="M62" s="77"/>
    </row>
    <row r="63" spans="1:13" ht="15" customHeight="1" x14ac:dyDescent="0.25">
      <c r="A63" s="77"/>
      <c r="B63" s="77"/>
      <c r="C63" s="97" t="str">
        <f t="shared" si="10"/>
        <v/>
      </c>
      <c r="D63" s="77"/>
      <c r="E63" s="77"/>
      <c r="F63" s="98" t="str">
        <f t="shared" si="11"/>
        <v/>
      </c>
      <c r="G63" s="77"/>
      <c r="H63" s="104">
        <f t="shared" si="12"/>
        <v>0</v>
      </c>
      <c r="I63" s="104">
        <f t="shared" si="13"/>
        <v>0</v>
      </c>
      <c r="J63" s="77"/>
      <c r="K63" s="77"/>
      <c r="L63" s="104">
        <f t="shared" si="14"/>
        <v>0</v>
      </c>
      <c r="M63" s="77"/>
    </row>
    <row r="64" spans="1:13" ht="15" customHeight="1" x14ac:dyDescent="0.25">
      <c r="A64" s="77"/>
      <c r="B64" s="77"/>
      <c r="C64" s="97" t="str">
        <f t="shared" si="10"/>
        <v/>
      </c>
      <c r="D64" s="77"/>
      <c r="E64" s="77"/>
      <c r="F64" s="98" t="str">
        <f t="shared" si="11"/>
        <v/>
      </c>
      <c r="G64" s="77"/>
      <c r="H64" s="104">
        <f t="shared" si="12"/>
        <v>0</v>
      </c>
      <c r="I64" s="104">
        <f t="shared" si="13"/>
        <v>0</v>
      </c>
      <c r="J64" s="77"/>
      <c r="K64" s="77"/>
      <c r="L64" s="104">
        <f t="shared" si="14"/>
        <v>0</v>
      </c>
      <c r="M64" s="77"/>
    </row>
    <row r="65" spans="1:13" ht="15" customHeight="1" x14ac:dyDescent="0.25">
      <c r="A65" s="77"/>
      <c r="B65" s="77"/>
      <c r="C65" s="97" t="str">
        <f t="shared" si="10"/>
        <v/>
      </c>
      <c r="D65" s="77"/>
      <c r="E65" s="77"/>
      <c r="F65" s="98" t="str">
        <f t="shared" si="11"/>
        <v/>
      </c>
      <c r="G65" s="77"/>
      <c r="H65" s="104">
        <f t="shared" si="12"/>
        <v>0</v>
      </c>
      <c r="I65" s="104">
        <f t="shared" si="13"/>
        <v>0</v>
      </c>
      <c r="J65" s="77"/>
      <c r="K65" s="77"/>
      <c r="L65" s="104">
        <f t="shared" si="14"/>
        <v>0</v>
      </c>
      <c r="M65" s="77"/>
    </row>
    <row r="66" spans="1:13" ht="15" customHeight="1" x14ac:dyDescent="0.25">
      <c r="A66" s="77"/>
      <c r="B66" s="77"/>
      <c r="C66" s="97" t="str">
        <f t="shared" si="10"/>
        <v/>
      </c>
      <c r="D66" s="77"/>
      <c r="E66" s="77"/>
      <c r="F66" s="98" t="str">
        <f t="shared" si="11"/>
        <v/>
      </c>
      <c r="G66" s="77"/>
      <c r="H66" s="104">
        <f t="shared" si="12"/>
        <v>0</v>
      </c>
      <c r="I66" s="104">
        <f t="shared" si="13"/>
        <v>0</v>
      </c>
      <c r="J66" s="77"/>
      <c r="K66" s="77"/>
      <c r="L66" s="104">
        <f t="shared" si="14"/>
        <v>0</v>
      </c>
      <c r="M66" s="77"/>
    </row>
    <row r="67" spans="1:13" ht="15" customHeight="1" x14ac:dyDescent="0.25">
      <c r="A67" s="77"/>
      <c r="B67" s="77"/>
      <c r="C67" s="97" t="str">
        <f t="shared" ref="C67:C98" si="15">IFERROR(VLOOKUP(B67,Projects_Table,2,FALSE()),"")</f>
        <v/>
      </c>
      <c r="D67" s="77"/>
      <c r="E67" s="77"/>
      <c r="F67" s="98" t="str">
        <f t="shared" si="11"/>
        <v/>
      </c>
      <c r="G67" s="77"/>
      <c r="H67" s="104">
        <f t="shared" si="12"/>
        <v>0</v>
      </c>
      <c r="I67" s="104">
        <f t="shared" si="13"/>
        <v>0</v>
      </c>
      <c r="J67" s="77"/>
      <c r="K67" s="77"/>
      <c r="L67" s="104">
        <f t="shared" si="14"/>
        <v>0</v>
      </c>
      <c r="M67" s="77"/>
    </row>
    <row r="68" spans="1:13" ht="15" customHeight="1" x14ac:dyDescent="0.25">
      <c r="A68" s="77"/>
      <c r="B68" s="77"/>
      <c r="C68" s="97" t="str">
        <f t="shared" si="15"/>
        <v/>
      </c>
      <c r="D68" s="77"/>
      <c r="E68" s="77"/>
      <c r="F68" s="98" t="str">
        <f t="shared" si="11"/>
        <v/>
      </c>
      <c r="G68" s="77"/>
      <c r="H68" s="104">
        <f t="shared" si="12"/>
        <v>0</v>
      </c>
      <c r="I68" s="104">
        <f t="shared" si="13"/>
        <v>0</v>
      </c>
      <c r="J68" s="77"/>
      <c r="K68" s="77"/>
      <c r="L68" s="104">
        <f t="shared" si="14"/>
        <v>0</v>
      </c>
      <c r="M68" s="77"/>
    </row>
    <row r="69" spans="1:13" ht="15" customHeight="1" x14ac:dyDescent="0.25">
      <c r="A69" s="77"/>
      <c r="B69" s="77"/>
      <c r="C69" s="97" t="str">
        <f t="shared" si="15"/>
        <v/>
      </c>
      <c r="D69" s="77"/>
      <c r="E69" s="77"/>
      <c r="F69" s="98" t="str">
        <f t="shared" si="11"/>
        <v/>
      </c>
      <c r="G69" s="77"/>
      <c r="H69" s="104">
        <f t="shared" si="12"/>
        <v>0</v>
      </c>
      <c r="I69" s="104">
        <f t="shared" si="13"/>
        <v>0</v>
      </c>
      <c r="J69" s="77"/>
      <c r="K69" s="77"/>
      <c r="L69" s="104">
        <f t="shared" si="14"/>
        <v>0</v>
      </c>
      <c r="M69" s="77"/>
    </row>
    <row r="70" spans="1:13" ht="15" customHeight="1" x14ac:dyDescent="0.25">
      <c r="A70" s="77"/>
      <c r="B70" s="77"/>
      <c r="C70" s="97" t="str">
        <f t="shared" si="15"/>
        <v/>
      </c>
      <c r="D70" s="77"/>
      <c r="E70" s="77"/>
      <c r="F70" s="98" t="str">
        <f t="shared" si="11"/>
        <v/>
      </c>
      <c r="G70" s="77"/>
      <c r="H70" s="104">
        <f t="shared" si="12"/>
        <v>0</v>
      </c>
      <c r="I70" s="104">
        <f t="shared" si="13"/>
        <v>0</v>
      </c>
      <c r="J70" s="77"/>
      <c r="K70" s="77"/>
      <c r="L70" s="104">
        <f t="shared" si="14"/>
        <v>0</v>
      </c>
      <c r="M70" s="77"/>
    </row>
    <row r="71" spans="1:13" ht="15" customHeight="1" x14ac:dyDescent="0.25">
      <c r="A71" s="77"/>
      <c r="B71" s="77"/>
      <c r="C71" s="97" t="str">
        <f t="shared" si="15"/>
        <v/>
      </c>
      <c r="D71" s="77"/>
      <c r="E71" s="77"/>
      <c r="F71" s="98" t="str">
        <f t="shared" si="11"/>
        <v/>
      </c>
      <c r="G71" s="77"/>
      <c r="H71" s="104">
        <f t="shared" si="12"/>
        <v>0</v>
      </c>
      <c r="I71" s="104">
        <f t="shared" si="13"/>
        <v>0</v>
      </c>
      <c r="J71" s="77"/>
      <c r="K71" s="77"/>
      <c r="L71" s="104">
        <f t="shared" si="14"/>
        <v>0</v>
      </c>
      <c r="M71" s="77"/>
    </row>
    <row r="72" spans="1:13" ht="15" customHeight="1" x14ac:dyDescent="0.25">
      <c r="A72" s="77"/>
      <c r="B72" s="77"/>
      <c r="C72" s="97" t="str">
        <f t="shared" si="15"/>
        <v/>
      </c>
      <c r="D72" s="77"/>
      <c r="E72" s="77"/>
      <c r="F72" s="98" t="str">
        <f t="shared" si="11"/>
        <v/>
      </c>
      <c r="G72" s="77"/>
      <c r="H72" s="104">
        <f t="shared" si="12"/>
        <v>0</v>
      </c>
      <c r="I72" s="104">
        <f t="shared" si="13"/>
        <v>0</v>
      </c>
      <c r="J72" s="77"/>
      <c r="K72" s="77"/>
      <c r="L72" s="104">
        <f t="shared" si="14"/>
        <v>0</v>
      </c>
      <c r="M72" s="77"/>
    </row>
    <row r="73" spans="1:13" ht="15" customHeight="1" x14ac:dyDescent="0.25">
      <c r="A73" s="77"/>
      <c r="B73" s="77"/>
      <c r="C73" s="97" t="str">
        <f t="shared" si="15"/>
        <v/>
      </c>
      <c r="D73" s="77"/>
      <c r="E73" s="77"/>
      <c r="F73" s="98" t="str">
        <f t="shared" si="11"/>
        <v/>
      </c>
      <c r="G73" s="77"/>
      <c r="H73" s="104">
        <f t="shared" si="12"/>
        <v>0</v>
      </c>
      <c r="I73" s="104">
        <f t="shared" si="13"/>
        <v>0</v>
      </c>
      <c r="J73" s="77"/>
      <c r="K73" s="77"/>
      <c r="L73" s="104">
        <f t="shared" si="14"/>
        <v>0</v>
      </c>
      <c r="M73" s="77"/>
    </row>
    <row r="74" spans="1:13" ht="15" customHeight="1" x14ac:dyDescent="0.25">
      <c r="A74" s="77"/>
      <c r="B74" s="77"/>
      <c r="C74" s="97" t="str">
        <f t="shared" si="15"/>
        <v/>
      </c>
      <c r="D74" s="77"/>
      <c r="E74" s="77"/>
      <c r="F74" s="98" t="str">
        <f t="shared" si="11"/>
        <v/>
      </c>
      <c r="G74" s="77"/>
      <c r="H74" s="104">
        <f t="shared" si="12"/>
        <v>0</v>
      </c>
      <c r="I74" s="104">
        <f t="shared" si="13"/>
        <v>0</v>
      </c>
      <c r="J74" s="77"/>
      <c r="K74" s="77"/>
      <c r="L74" s="104">
        <f t="shared" si="14"/>
        <v>0</v>
      </c>
      <c r="M74" s="77"/>
    </row>
    <row r="75" spans="1:13" ht="15" customHeight="1" x14ac:dyDescent="0.25">
      <c r="A75" s="77"/>
      <c r="B75" s="77"/>
      <c r="C75" s="97" t="str">
        <f t="shared" si="15"/>
        <v/>
      </c>
      <c r="D75" s="77"/>
      <c r="E75" s="77"/>
      <c r="F75" s="98" t="str">
        <f t="shared" si="11"/>
        <v/>
      </c>
      <c r="G75" s="77"/>
      <c r="H75" s="104">
        <f t="shared" si="12"/>
        <v>0</v>
      </c>
      <c r="I75" s="104">
        <f t="shared" si="13"/>
        <v>0</v>
      </c>
      <c r="J75" s="77"/>
      <c r="K75" s="77"/>
      <c r="L75" s="104">
        <f t="shared" si="14"/>
        <v>0</v>
      </c>
      <c r="M75" s="77"/>
    </row>
    <row r="76" spans="1:13" ht="15" customHeight="1" x14ac:dyDescent="0.25">
      <c r="A76" s="77"/>
      <c r="B76" s="77"/>
      <c r="C76" s="97" t="str">
        <f t="shared" si="15"/>
        <v/>
      </c>
      <c r="D76" s="77"/>
      <c r="E76" s="77"/>
      <c r="F76" s="98" t="str">
        <f t="shared" si="11"/>
        <v/>
      </c>
      <c r="G76" s="77"/>
      <c r="H76" s="104">
        <f t="shared" si="12"/>
        <v>0</v>
      </c>
      <c r="I76" s="104">
        <f t="shared" si="13"/>
        <v>0</v>
      </c>
      <c r="J76" s="77"/>
      <c r="K76" s="77"/>
      <c r="L76" s="104">
        <f t="shared" si="14"/>
        <v>0</v>
      </c>
      <c r="M76" s="77"/>
    </row>
    <row r="77" spans="1:13" ht="15" customHeight="1" x14ac:dyDescent="0.25">
      <c r="A77" s="77"/>
      <c r="B77" s="77"/>
      <c r="C77" s="97" t="str">
        <f t="shared" si="15"/>
        <v/>
      </c>
      <c r="D77" s="77"/>
      <c r="E77" s="77"/>
      <c r="F77" s="98" t="str">
        <f t="shared" si="11"/>
        <v/>
      </c>
      <c r="G77" s="77"/>
      <c r="H77" s="104">
        <f t="shared" si="12"/>
        <v>0</v>
      </c>
      <c r="I77" s="104">
        <f t="shared" si="13"/>
        <v>0</v>
      </c>
      <c r="J77" s="77"/>
      <c r="K77" s="77"/>
      <c r="L77" s="104">
        <f t="shared" si="14"/>
        <v>0</v>
      </c>
      <c r="M77" s="77"/>
    </row>
    <row r="78" spans="1:13" ht="15" customHeight="1" x14ac:dyDescent="0.25">
      <c r="A78" s="77"/>
      <c r="B78" s="77"/>
      <c r="C78" s="97" t="str">
        <f t="shared" si="15"/>
        <v/>
      </c>
      <c r="D78" s="77"/>
      <c r="E78" s="77"/>
      <c r="F78" s="98" t="str">
        <f t="shared" si="11"/>
        <v/>
      </c>
      <c r="G78" s="77"/>
      <c r="H78" s="104">
        <f t="shared" si="12"/>
        <v>0</v>
      </c>
      <c r="I78" s="104">
        <f t="shared" si="13"/>
        <v>0</v>
      </c>
      <c r="J78" s="77"/>
      <c r="K78" s="77"/>
      <c r="L78" s="104">
        <f t="shared" si="14"/>
        <v>0</v>
      </c>
      <c r="M78" s="77"/>
    </row>
    <row r="79" spans="1:13" ht="15" customHeight="1" x14ac:dyDescent="0.25">
      <c r="A79" s="77"/>
      <c r="B79" s="77"/>
      <c r="C79" s="97" t="str">
        <f t="shared" si="15"/>
        <v/>
      </c>
      <c r="D79" s="77"/>
      <c r="E79" s="77"/>
      <c r="F79" s="98" t="str">
        <f t="shared" si="11"/>
        <v/>
      </c>
      <c r="G79" s="77"/>
      <c r="H79" s="104">
        <f t="shared" si="12"/>
        <v>0</v>
      </c>
      <c r="I79" s="104">
        <f t="shared" si="13"/>
        <v>0</v>
      </c>
      <c r="J79" s="77"/>
      <c r="K79" s="77"/>
      <c r="L79" s="104">
        <f t="shared" si="14"/>
        <v>0</v>
      </c>
      <c r="M79" s="77"/>
    </row>
    <row r="80" spans="1:13" ht="15" customHeight="1" x14ac:dyDescent="0.25">
      <c r="A80" s="77"/>
      <c r="B80" s="77"/>
      <c r="C80" s="97" t="str">
        <f t="shared" si="15"/>
        <v/>
      </c>
      <c r="D80" s="77"/>
      <c r="E80" s="77"/>
      <c r="F80" s="98" t="str">
        <f t="shared" si="11"/>
        <v/>
      </c>
      <c r="G80" s="77"/>
      <c r="H80" s="104">
        <f t="shared" si="12"/>
        <v>0</v>
      </c>
      <c r="I80" s="104">
        <f t="shared" si="13"/>
        <v>0</v>
      </c>
      <c r="J80" s="77"/>
      <c r="K80" s="77"/>
      <c r="L80" s="104">
        <f t="shared" si="14"/>
        <v>0</v>
      </c>
      <c r="M80" s="77"/>
    </row>
    <row r="81" spans="1:13" ht="15" customHeight="1" x14ac:dyDescent="0.25">
      <c r="A81" s="77"/>
      <c r="B81" s="77"/>
      <c r="C81" s="97" t="str">
        <f t="shared" si="15"/>
        <v/>
      </c>
      <c r="D81" s="77"/>
      <c r="E81" s="77"/>
      <c r="F81" s="98" t="str">
        <f t="shared" si="11"/>
        <v/>
      </c>
      <c r="G81" s="77"/>
      <c r="H81" s="104">
        <f t="shared" si="12"/>
        <v>0</v>
      </c>
      <c r="I81" s="104">
        <f t="shared" si="13"/>
        <v>0</v>
      </c>
      <c r="J81" s="77"/>
      <c r="K81" s="77"/>
      <c r="L81" s="104">
        <f t="shared" si="14"/>
        <v>0</v>
      </c>
      <c r="M81" s="77"/>
    </row>
    <row r="82" spans="1:13" ht="15" customHeight="1" x14ac:dyDescent="0.25">
      <c r="A82" s="77"/>
      <c r="B82" s="77"/>
      <c r="C82" s="97" t="str">
        <f t="shared" si="15"/>
        <v/>
      </c>
      <c r="D82" s="77"/>
      <c r="E82" s="77"/>
      <c r="F82" s="98" t="str">
        <f t="shared" ref="F82:F113" si="16">IF(E82="","",E82+Balance_Due_Days)</f>
        <v/>
      </c>
      <c r="G82" s="77"/>
      <c r="H82" s="104">
        <f t="shared" ref="H82:H113" si="17">IFERROR(G82*VAT_Rate,0)</f>
        <v>0</v>
      </c>
      <c r="I82" s="104">
        <f t="shared" ref="I82:I113" si="18">IFERROR(G82+H82,0)</f>
        <v>0</v>
      </c>
      <c r="J82" s="77"/>
      <c r="K82" s="77"/>
      <c r="L82" s="104">
        <f t="shared" ref="L82:L113" si="19">IFERROR(I82-K82,0)</f>
        <v>0</v>
      </c>
      <c r="M82" s="77"/>
    </row>
    <row r="83" spans="1:13" ht="15" customHeight="1" x14ac:dyDescent="0.25">
      <c r="A83" s="77"/>
      <c r="B83" s="77"/>
      <c r="C83" s="97" t="str">
        <f t="shared" si="15"/>
        <v/>
      </c>
      <c r="D83" s="77"/>
      <c r="E83" s="77"/>
      <c r="F83" s="98" t="str">
        <f t="shared" si="16"/>
        <v/>
      </c>
      <c r="G83" s="77"/>
      <c r="H83" s="104">
        <f t="shared" si="17"/>
        <v>0</v>
      </c>
      <c r="I83" s="104">
        <f t="shared" si="18"/>
        <v>0</v>
      </c>
      <c r="J83" s="77"/>
      <c r="K83" s="77"/>
      <c r="L83" s="104">
        <f t="shared" si="19"/>
        <v>0</v>
      </c>
      <c r="M83" s="77"/>
    </row>
    <row r="84" spans="1:13" ht="15" customHeight="1" x14ac:dyDescent="0.25">
      <c r="A84" s="77"/>
      <c r="B84" s="77"/>
      <c r="C84" s="97" t="str">
        <f t="shared" si="15"/>
        <v/>
      </c>
      <c r="D84" s="77"/>
      <c r="E84" s="77"/>
      <c r="F84" s="98" t="str">
        <f t="shared" si="16"/>
        <v/>
      </c>
      <c r="G84" s="77"/>
      <c r="H84" s="104">
        <f t="shared" si="17"/>
        <v>0</v>
      </c>
      <c r="I84" s="104">
        <f t="shared" si="18"/>
        <v>0</v>
      </c>
      <c r="J84" s="77"/>
      <c r="K84" s="77"/>
      <c r="L84" s="104">
        <f t="shared" si="19"/>
        <v>0</v>
      </c>
      <c r="M84" s="77"/>
    </row>
    <row r="85" spans="1:13" ht="15" customHeight="1" x14ac:dyDescent="0.25">
      <c r="A85" s="77"/>
      <c r="B85" s="77"/>
      <c r="C85" s="97" t="str">
        <f t="shared" si="15"/>
        <v/>
      </c>
      <c r="D85" s="77"/>
      <c r="E85" s="77"/>
      <c r="F85" s="98" t="str">
        <f t="shared" si="16"/>
        <v/>
      </c>
      <c r="G85" s="77"/>
      <c r="H85" s="104">
        <f t="shared" si="17"/>
        <v>0</v>
      </c>
      <c r="I85" s="104">
        <f t="shared" si="18"/>
        <v>0</v>
      </c>
      <c r="J85" s="77"/>
      <c r="K85" s="77"/>
      <c r="L85" s="104">
        <f t="shared" si="19"/>
        <v>0</v>
      </c>
      <c r="M85" s="77"/>
    </row>
    <row r="86" spans="1:13" ht="15" customHeight="1" x14ac:dyDescent="0.25">
      <c r="A86" s="77"/>
      <c r="B86" s="77"/>
      <c r="C86" s="97" t="str">
        <f t="shared" si="15"/>
        <v/>
      </c>
      <c r="D86" s="77"/>
      <c r="E86" s="77"/>
      <c r="F86" s="98" t="str">
        <f t="shared" si="16"/>
        <v/>
      </c>
      <c r="G86" s="77"/>
      <c r="H86" s="104">
        <f t="shared" si="17"/>
        <v>0</v>
      </c>
      <c r="I86" s="104">
        <f t="shared" si="18"/>
        <v>0</v>
      </c>
      <c r="J86" s="77"/>
      <c r="K86" s="77"/>
      <c r="L86" s="104">
        <f t="shared" si="19"/>
        <v>0</v>
      </c>
      <c r="M86" s="77"/>
    </row>
    <row r="87" spans="1:13" ht="15" customHeight="1" x14ac:dyDescent="0.25">
      <c r="A87" s="77"/>
      <c r="B87" s="77"/>
      <c r="C87" s="97" t="str">
        <f t="shared" si="15"/>
        <v/>
      </c>
      <c r="D87" s="77"/>
      <c r="E87" s="77"/>
      <c r="F87" s="98" t="str">
        <f t="shared" si="16"/>
        <v/>
      </c>
      <c r="G87" s="77"/>
      <c r="H87" s="104">
        <f t="shared" si="17"/>
        <v>0</v>
      </c>
      <c r="I87" s="104">
        <f t="shared" si="18"/>
        <v>0</v>
      </c>
      <c r="J87" s="77"/>
      <c r="K87" s="77"/>
      <c r="L87" s="104">
        <f t="shared" si="19"/>
        <v>0</v>
      </c>
      <c r="M87" s="77"/>
    </row>
    <row r="88" spans="1:13" ht="15" customHeight="1" x14ac:dyDescent="0.25">
      <c r="A88" s="77"/>
      <c r="B88" s="77"/>
      <c r="C88" s="97" t="str">
        <f t="shared" si="15"/>
        <v/>
      </c>
      <c r="D88" s="77"/>
      <c r="E88" s="77"/>
      <c r="F88" s="98" t="str">
        <f t="shared" si="16"/>
        <v/>
      </c>
      <c r="G88" s="77"/>
      <c r="H88" s="104">
        <f t="shared" si="17"/>
        <v>0</v>
      </c>
      <c r="I88" s="104">
        <f t="shared" si="18"/>
        <v>0</v>
      </c>
      <c r="J88" s="77"/>
      <c r="K88" s="77"/>
      <c r="L88" s="104">
        <f t="shared" si="19"/>
        <v>0</v>
      </c>
      <c r="M88" s="77"/>
    </row>
    <row r="89" spans="1:13" ht="15" customHeight="1" x14ac:dyDescent="0.25">
      <c r="A89" s="77"/>
      <c r="B89" s="77"/>
      <c r="C89" s="97" t="str">
        <f t="shared" si="15"/>
        <v/>
      </c>
      <c r="D89" s="77"/>
      <c r="E89" s="77"/>
      <c r="F89" s="98" t="str">
        <f t="shared" si="16"/>
        <v/>
      </c>
      <c r="G89" s="77"/>
      <c r="H89" s="104">
        <f t="shared" si="17"/>
        <v>0</v>
      </c>
      <c r="I89" s="104">
        <f t="shared" si="18"/>
        <v>0</v>
      </c>
      <c r="J89" s="77"/>
      <c r="K89" s="77"/>
      <c r="L89" s="104">
        <f t="shared" si="19"/>
        <v>0</v>
      </c>
      <c r="M89" s="77"/>
    </row>
    <row r="90" spans="1:13" ht="15" customHeight="1" x14ac:dyDescent="0.25">
      <c r="A90" s="77"/>
      <c r="B90" s="77"/>
      <c r="C90" s="97" t="str">
        <f t="shared" si="15"/>
        <v/>
      </c>
      <c r="D90" s="77"/>
      <c r="E90" s="77"/>
      <c r="F90" s="98" t="str">
        <f t="shared" si="16"/>
        <v/>
      </c>
      <c r="G90" s="77"/>
      <c r="H90" s="104">
        <f t="shared" si="17"/>
        <v>0</v>
      </c>
      <c r="I90" s="104">
        <f t="shared" si="18"/>
        <v>0</v>
      </c>
      <c r="J90" s="77"/>
      <c r="K90" s="77"/>
      <c r="L90" s="104">
        <f t="shared" si="19"/>
        <v>0</v>
      </c>
      <c r="M90" s="77"/>
    </row>
    <row r="91" spans="1:13" ht="15" customHeight="1" x14ac:dyDescent="0.25">
      <c r="A91" s="77"/>
      <c r="B91" s="77"/>
      <c r="C91" s="97" t="str">
        <f t="shared" si="15"/>
        <v/>
      </c>
      <c r="D91" s="77"/>
      <c r="E91" s="77"/>
      <c r="F91" s="98" t="str">
        <f t="shared" si="16"/>
        <v/>
      </c>
      <c r="G91" s="77"/>
      <c r="H91" s="104">
        <f t="shared" si="17"/>
        <v>0</v>
      </c>
      <c r="I91" s="104">
        <f t="shared" si="18"/>
        <v>0</v>
      </c>
      <c r="J91" s="77"/>
      <c r="K91" s="77"/>
      <c r="L91" s="104">
        <f t="shared" si="19"/>
        <v>0</v>
      </c>
      <c r="M91" s="77"/>
    </row>
    <row r="92" spans="1:13" ht="15" customHeight="1" x14ac:dyDescent="0.25">
      <c r="A92" s="77"/>
      <c r="B92" s="77"/>
      <c r="C92" s="97" t="str">
        <f t="shared" si="15"/>
        <v/>
      </c>
      <c r="D92" s="77"/>
      <c r="E92" s="77"/>
      <c r="F92" s="98" t="str">
        <f t="shared" si="16"/>
        <v/>
      </c>
      <c r="G92" s="77"/>
      <c r="H92" s="104">
        <f t="shared" si="17"/>
        <v>0</v>
      </c>
      <c r="I92" s="104">
        <f t="shared" si="18"/>
        <v>0</v>
      </c>
      <c r="J92" s="77"/>
      <c r="K92" s="77"/>
      <c r="L92" s="104">
        <f t="shared" si="19"/>
        <v>0</v>
      </c>
      <c r="M92" s="77"/>
    </row>
    <row r="93" spans="1:13" ht="15" customHeight="1" x14ac:dyDescent="0.25">
      <c r="A93" s="77"/>
      <c r="B93" s="77"/>
      <c r="C93" s="97" t="str">
        <f t="shared" si="15"/>
        <v/>
      </c>
      <c r="D93" s="77"/>
      <c r="E93" s="77"/>
      <c r="F93" s="98" t="str">
        <f t="shared" si="16"/>
        <v/>
      </c>
      <c r="G93" s="77"/>
      <c r="H93" s="104">
        <f t="shared" si="17"/>
        <v>0</v>
      </c>
      <c r="I93" s="104">
        <f t="shared" si="18"/>
        <v>0</v>
      </c>
      <c r="J93" s="77"/>
      <c r="K93" s="77"/>
      <c r="L93" s="104">
        <f t="shared" si="19"/>
        <v>0</v>
      </c>
      <c r="M93" s="77"/>
    </row>
    <row r="94" spans="1:13" ht="15" customHeight="1" x14ac:dyDescent="0.25">
      <c r="A94" s="77"/>
      <c r="B94" s="77"/>
      <c r="C94" s="97" t="str">
        <f t="shared" si="15"/>
        <v/>
      </c>
      <c r="D94" s="77"/>
      <c r="E94" s="77"/>
      <c r="F94" s="98" t="str">
        <f t="shared" si="16"/>
        <v/>
      </c>
      <c r="G94" s="77"/>
      <c r="H94" s="104">
        <f t="shared" si="17"/>
        <v>0</v>
      </c>
      <c r="I94" s="104">
        <f t="shared" si="18"/>
        <v>0</v>
      </c>
      <c r="J94" s="77"/>
      <c r="K94" s="77"/>
      <c r="L94" s="104">
        <f t="shared" si="19"/>
        <v>0</v>
      </c>
      <c r="M94" s="77"/>
    </row>
    <row r="95" spans="1:13" ht="15" customHeight="1" x14ac:dyDescent="0.25">
      <c r="A95" s="77"/>
      <c r="B95" s="77"/>
      <c r="C95" s="97" t="str">
        <f t="shared" si="15"/>
        <v/>
      </c>
      <c r="D95" s="77"/>
      <c r="E95" s="77"/>
      <c r="F95" s="98" t="str">
        <f t="shared" si="16"/>
        <v/>
      </c>
      <c r="G95" s="77"/>
      <c r="H95" s="104">
        <f t="shared" si="17"/>
        <v>0</v>
      </c>
      <c r="I95" s="104">
        <f t="shared" si="18"/>
        <v>0</v>
      </c>
      <c r="J95" s="77"/>
      <c r="K95" s="77"/>
      <c r="L95" s="104">
        <f t="shared" si="19"/>
        <v>0</v>
      </c>
      <c r="M95" s="77"/>
    </row>
    <row r="96" spans="1:13" ht="15" customHeight="1" x14ac:dyDescent="0.25">
      <c r="A96" s="77"/>
      <c r="B96" s="77"/>
      <c r="C96" s="97" t="str">
        <f t="shared" si="15"/>
        <v/>
      </c>
      <c r="D96" s="77"/>
      <c r="E96" s="77"/>
      <c r="F96" s="98" t="str">
        <f t="shared" si="16"/>
        <v/>
      </c>
      <c r="G96" s="77"/>
      <c r="H96" s="104">
        <f t="shared" si="17"/>
        <v>0</v>
      </c>
      <c r="I96" s="104">
        <f t="shared" si="18"/>
        <v>0</v>
      </c>
      <c r="J96" s="77"/>
      <c r="K96" s="77"/>
      <c r="L96" s="104">
        <f t="shared" si="19"/>
        <v>0</v>
      </c>
      <c r="M96" s="77"/>
    </row>
    <row r="97" spans="1:13" ht="15" customHeight="1" x14ac:dyDescent="0.25">
      <c r="A97" s="77"/>
      <c r="B97" s="77"/>
      <c r="C97" s="97" t="str">
        <f t="shared" si="15"/>
        <v/>
      </c>
      <c r="D97" s="77"/>
      <c r="E97" s="77"/>
      <c r="F97" s="98" t="str">
        <f t="shared" si="16"/>
        <v/>
      </c>
      <c r="G97" s="77"/>
      <c r="H97" s="104">
        <f t="shared" si="17"/>
        <v>0</v>
      </c>
      <c r="I97" s="104">
        <f t="shared" si="18"/>
        <v>0</v>
      </c>
      <c r="J97" s="77"/>
      <c r="K97" s="77"/>
      <c r="L97" s="104">
        <f t="shared" si="19"/>
        <v>0</v>
      </c>
      <c r="M97" s="77"/>
    </row>
    <row r="98" spans="1:13" ht="15" customHeight="1" x14ac:dyDescent="0.25">
      <c r="A98" s="77"/>
      <c r="B98" s="77"/>
      <c r="C98" s="97" t="str">
        <f t="shared" si="15"/>
        <v/>
      </c>
      <c r="D98" s="77"/>
      <c r="E98" s="77"/>
      <c r="F98" s="98" t="str">
        <f t="shared" si="16"/>
        <v/>
      </c>
      <c r="G98" s="77"/>
      <c r="H98" s="104">
        <f t="shared" si="17"/>
        <v>0</v>
      </c>
      <c r="I98" s="104">
        <f t="shared" si="18"/>
        <v>0</v>
      </c>
      <c r="J98" s="77"/>
      <c r="K98" s="77"/>
      <c r="L98" s="104">
        <f t="shared" si="19"/>
        <v>0</v>
      </c>
      <c r="M98" s="77"/>
    </row>
    <row r="99" spans="1:13" ht="15" customHeight="1" x14ac:dyDescent="0.25">
      <c r="A99" s="77"/>
      <c r="B99" s="77"/>
      <c r="C99" s="97" t="str">
        <f t="shared" ref="C99:C130" si="20">IFERROR(VLOOKUP(B99,Projects_Table,2,FALSE()),"")</f>
        <v/>
      </c>
      <c r="D99" s="77"/>
      <c r="E99" s="77"/>
      <c r="F99" s="98" t="str">
        <f t="shared" si="16"/>
        <v/>
      </c>
      <c r="G99" s="77"/>
      <c r="H99" s="104">
        <f t="shared" si="17"/>
        <v>0</v>
      </c>
      <c r="I99" s="104">
        <f t="shared" si="18"/>
        <v>0</v>
      </c>
      <c r="J99" s="77"/>
      <c r="K99" s="77"/>
      <c r="L99" s="104">
        <f t="shared" si="19"/>
        <v>0</v>
      </c>
      <c r="M99" s="77"/>
    </row>
    <row r="100" spans="1:13" ht="15" customHeight="1" x14ac:dyDescent="0.25">
      <c r="A100" s="77"/>
      <c r="B100" s="77"/>
      <c r="C100" s="97" t="str">
        <f t="shared" si="20"/>
        <v/>
      </c>
      <c r="D100" s="77"/>
      <c r="E100" s="77"/>
      <c r="F100" s="98" t="str">
        <f t="shared" si="16"/>
        <v/>
      </c>
      <c r="G100" s="77"/>
      <c r="H100" s="104">
        <f t="shared" si="17"/>
        <v>0</v>
      </c>
      <c r="I100" s="104">
        <f t="shared" si="18"/>
        <v>0</v>
      </c>
      <c r="J100" s="77"/>
      <c r="K100" s="77"/>
      <c r="L100" s="104">
        <f t="shared" si="19"/>
        <v>0</v>
      </c>
      <c r="M100" s="77"/>
    </row>
    <row r="101" spans="1:13" ht="15" customHeight="1" x14ac:dyDescent="0.25">
      <c r="A101" s="77"/>
      <c r="B101" s="77"/>
      <c r="C101" s="97" t="str">
        <f t="shared" si="20"/>
        <v/>
      </c>
      <c r="D101" s="77"/>
      <c r="E101" s="77"/>
      <c r="F101" s="98" t="str">
        <f t="shared" si="16"/>
        <v/>
      </c>
      <c r="G101" s="77"/>
      <c r="H101" s="104">
        <f t="shared" si="17"/>
        <v>0</v>
      </c>
      <c r="I101" s="104">
        <f t="shared" si="18"/>
        <v>0</v>
      </c>
      <c r="J101" s="77"/>
      <c r="K101" s="77"/>
      <c r="L101" s="104">
        <f t="shared" si="19"/>
        <v>0</v>
      </c>
      <c r="M101" s="77"/>
    </row>
    <row r="102" spans="1:13" ht="15" customHeight="1" x14ac:dyDescent="0.25">
      <c r="A102" s="77"/>
      <c r="B102" s="77"/>
      <c r="C102" s="97" t="str">
        <f t="shared" si="20"/>
        <v/>
      </c>
      <c r="D102" s="77"/>
      <c r="E102" s="77"/>
      <c r="F102" s="98" t="str">
        <f t="shared" si="16"/>
        <v/>
      </c>
      <c r="G102" s="77"/>
      <c r="H102" s="104">
        <f t="shared" si="17"/>
        <v>0</v>
      </c>
      <c r="I102" s="104">
        <f t="shared" si="18"/>
        <v>0</v>
      </c>
      <c r="J102" s="77"/>
      <c r="K102" s="77"/>
      <c r="L102" s="104">
        <f t="shared" si="19"/>
        <v>0</v>
      </c>
      <c r="M102" s="77"/>
    </row>
    <row r="103" spans="1:13" ht="15" customHeight="1" x14ac:dyDescent="0.25">
      <c r="A103" s="77"/>
      <c r="B103" s="77"/>
      <c r="C103" s="97" t="str">
        <f t="shared" si="20"/>
        <v/>
      </c>
      <c r="D103" s="77"/>
      <c r="E103" s="77"/>
      <c r="F103" s="98" t="str">
        <f t="shared" si="16"/>
        <v/>
      </c>
      <c r="G103" s="77"/>
      <c r="H103" s="104">
        <f t="shared" si="17"/>
        <v>0</v>
      </c>
      <c r="I103" s="104">
        <f t="shared" si="18"/>
        <v>0</v>
      </c>
      <c r="J103" s="77"/>
      <c r="K103" s="77"/>
      <c r="L103" s="104">
        <f t="shared" si="19"/>
        <v>0</v>
      </c>
      <c r="M103" s="77"/>
    </row>
    <row r="104" spans="1:13" ht="15" customHeight="1" x14ac:dyDescent="0.25">
      <c r="A104" s="77"/>
      <c r="B104" s="77"/>
      <c r="C104" s="97" t="str">
        <f t="shared" si="20"/>
        <v/>
      </c>
      <c r="D104" s="77"/>
      <c r="E104" s="77"/>
      <c r="F104" s="98" t="str">
        <f t="shared" si="16"/>
        <v/>
      </c>
      <c r="G104" s="77"/>
      <c r="H104" s="104">
        <f t="shared" si="17"/>
        <v>0</v>
      </c>
      <c r="I104" s="104">
        <f t="shared" si="18"/>
        <v>0</v>
      </c>
      <c r="J104" s="77"/>
      <c r="K104" s="77"/>
      <c r="L104" s="104">
        <f t="shared" si="19"/>
        <v>0</v>
      </c>
      <c r="M104" s="77"/>
    </row>
    <row r="105" spans="1:13" ht="15" customHeight="1" x14ac:dyDescent="0.25">
      <c r="A105" s="77"/>
      <c r="B105" s="77"/>
      <c r="C105" s="97" t="str">
        <f t="shared" si="20"/>
        <v/>
      </c>
      <c r="D105" s="77"/>
      <c r="E105" s="77"/>
      <c r="F105" s="98" t="str">
        <f t="shared" si="16"/>
        <v/>
      </c>
      <c r="G105" s="77"/>
      <c r="H105" s="104">
        <f t="shared" si="17"/>
        <v>0</v>
      </c>
      <c r="I105" s="104">
        <f t="shared" si="18"/>
        <v>0</v>
      </c>
      <c r="J105" s="77"/>
      <c r="K105" s="77"/>
      <c r="L105" s="104">
        <f t="shared" si="19"/>
        <v>0</v>
      </c>
      <c r="M105" s="77"/>
    </row>
    <row r="106" spans="1:13" ht="15" customHeight="1" x14ac:dyDescent="0.25">
      <c r="A106" s="77"/>
      <c r="B106" s="77"/>
      <c r="C106" s="97" t="str">
        <f t="shared" si="20"/>
        <v/>
      </c>
      <c r="D106" s="77"/>
      <c r="E106" s="77"/>
      <c r="F106" s="98" t="str">
        <f t="shared" si="16"/>
        <v/>
      </c>
      <c r="G106" s="77"/>
      <c r="H106" s="104">
        <f t="shared" si="17"/>
        <v>0</v>
      </c>
      <c r="I106" s="104">
        <f t="shared" si="18"/>
        <v>0</v>
      </c>
      <c r="J106" s="77"/>
      <c r="K106" s="77"/>
      <c r="L106" s="104">
        <f t="shared" si="19"/>
        <v>0</v>
      </c>
      <c r="M106" s="77"/>
    </row>
    <row r="107" spans="1:13" ht="15" customHeight="1" x14ac:dyDescent="0.25">
      <c r="A107" s="77"/>
      <c r="B107" s="77"/>
      <c r="C107" s="97" t="str">
        <f t="shared" si="20"/>
        <v/>
      </c>
      <c r="D107" s="77"/>
      <c r="E107" s="77"/>
      <c r="F107" s="98" t="str">
        <f t="shared" si="16"/>
        <v/>
      </c>
      <c r="G107" s="77"/>
      <c r="H107" s="104">
        <f t="shared" si="17"/>
        <v>0</v>
      </c>
      <c r="I107" s="104">
        <f t="shared" si="18"/>
        <v>0</v>
      </c>
      <c r="J107" s="77"/>
      <c r="K107" s="77"/>
      <c r="L107" s="104">
        <f t="shared" si="19"/>
        <v>0</v>
      </c>
      <c r="M107" s="77"/>
    </row>
    <row r="108" spans="1:13" ht="15" customHeight="1" x14ac:dyDescent="0.25">
      <c r="A108" s="77"/>
      <c r="B108" s="77"/>
      <c r="C108" s="97" t="str">
        <f t="shared" si="20"/>
        <v/>
      </c>
      <c r="D108" s="77"/>
      <c r="E108" s="77"/>
      <c r="F108" s="98" t="str">
        <f t="shared" si="16"/>
        <v/>
      </c>
      <c r="G108" s="77"/>
      <c r="H108" s="104">
        <f t="shared" si="17"/>
        <v>0</v>
      </c>
      <c r="I108" s="104">
        <f t="shared" si="18"/>
        <v>0</v>
      </c>
      <c r="J108" s="77"/>
      <c r="K108" s="77"/>
      <c r="L108" s="104">
        <f t="shared" si="19"/>
        <v>0</v>
      </c>
      <c r="M108" s="77"/>
    </row>
    <row r="109" spans="1:13" ht="15" customHeight="1" x14ac:dyDescent="0.25">
      <c r="A109" s="77"/>
      <c r="B109" s="77"/>
      <c r="C109" s="97" t="str">
        <f t="shared" si="20"/>
        <v/>
      </c>
      <c r="D109" s="77"/>
      <c r="E109" s="77"/>
      <c r="F109" s="98" t="str">
        <f t="shared" si="16"/>
        <v/>
      </c>
      <c r="G109" s="77"/>
      <c r="H109" s="104">
        <f t="shared" si="17"/>
        <v>0</v>
      </c>
      <c r="I109" s="104">
        <f t="shared" si="18"/>
        <v>0</v>
      </c>
      <c r="J109" s="77"/>
      <c r="K109" s="77"/>
      <c r="L109" s="104">
        <f t="shared" si="19"/>
        <v>0</v>
      </c>
      <c r="M109" s="77"/>
    </row>
    <row r="110" spans="1:13" ht="15" customHeight="1" x14ac:dyDescent="0.25">
      <c r="A110" s="77"/>
      <c r="B110" s="77"/>
      <c r="C110" s="97" t="str">
        <f t="shared" si="20"/>
        <v/>
      </c>
      <c r="D110" s="77"/>
      <c r="E110" s="77"/>
      <c r="F110" s="98" t="str">
        <f t="shared" si="16"/>
        <v/>
      </c>
      <c r="G110" s="77"/>
      <c r="H110" s="104">
        <f t="shared" si="17"/>
        <v>0</v>
      </c>
      <c r="I110" s="104">
        <f t="shared" si="18"/>
        <v>0</v>
      </c>
      <c r="J110" s="77"/>
      <c r="K110" s="77"/>
      <c r="L110" s="104">
        <f t="shared" si="19"/>
        <v>0</v>
      </c>
      <c r="M110" s="77"/>
    </row>
    <row r="111" spans="1:13" ht="15" customHeight="1" x14ac:dyDescent="0.25">
      <c r="A111" s="77"/>
      <c r="B111" s="77"/>
      <c r="C111" s="97" t="str">
        <f t="shared" si="20"/>
        <v/>
      </c>
      <c r="D111" s="77"/>
      <c r="E111" s="77"/>
      <c r="F111" s="98" t="str">
        <f t="shared" si="16"/>
        <v/>
      </c>
      <c r="G111" s="77"/>
      <c r="H111" s="104">
        <f t="shared" si="17"/>
        <v>0</v>
      </c>
      <c r="I111" s="104">
        <f t="shared" si="18"/>
        <v>0</v>
      </c>
      <c r="J111" s="77"/>
      <c r="K111" s="77"/>
      <c r="L111" s="104">
        <f t="shared" si="19"/>
        <v>0</v>
      </c>
      <c r="M111" s="77"/>
    </row>
    <row r="112" spans="1:13" ht="15" customHeight="1" x14ac:dyDescent="0.25">
      <c r="A112" s="77"/>
      <c r="B112" s="77"/>
      <c r="C112" s="97" t="str">
        <f t="shared" si="20"/>
        <v/>
      </c>
      <c r="D112" s="77"/>
      <c r="E112" s="77"/>
      <c r="F112" s="98" t="str">
        <f t="shared" si="16"/>
        <v/>
      </c>
      <c r="G112" s="77"/>
      <c r="H112" s="104">
        <f t="shared" si="17"/>
        <v>0</v>
      </c>
      <c r="I112" s="104">
        <f t="shared" si="18"/>
        <v>0</v>
      </c>
      <c r="J112" s="77"/>
      <c r="K112" s="77"/>
      <c r="L112" s="104">
        <f t="shared" si="19"/>
        <v>0</v>
      </c>
      <c r="M112" s="77"/>
    </row>
    <row r="113" spans="1:13" ht="15" customHeight="1" x14ac:dyDescent="0.25">
      <c r="A113" s="77"/>
      <c r="B113" s="77"/>
      <c r="C113" s="97" t="str">
        <f t="shared" si="20"/>
        <v/>
      </c>
      <c r="D113" s="77"/>
      <c r="E113" s="77"/>
      <c r="F113" s="98" t="str">
        <f t="shared" si="16"/>
        <v/>
      </c>
      <c r="G113" s="77"/>
      <c r="H113" s="104">
        <f t="shared" si="17"/>
        <v>0</v>
      </c>
      <c r="I113" s="104">
        <f t="shared" si="18"/>
        <v>0</v>
      </c>
      <c r="J113" s="77"/>
      <c r="K113" s="77"/>
      <c r="L113" s="104">
        <f t="shared" si="19"/>
        <v>0</v>
      </c>
      <c r="M113" s="77"/>
    </row>
    <row r="114" spans="1:13" ht="15" customHeight="1" x14ac:dyDescent="0.25">
      <c r="A114" s="77"/>
      <c r="B114" s="77"/>
      <c r="C114" s="97" t="str">
        <f t="shared" si="20"/>
        <v/>
      </c>
      <c r="D114" s="77"/>
      <c r="E114" s="77"/>
      <c r="F114" s="98" t="str">
        <f t="shared" ref="F114:F145" si="21">IF(E114="","",E114+Balance_Due_Days)</f>
        <v/>
      </c>
      <c r="G114" s="77"/>
      <c r="H114" s="104">
        <f t="shared" ref="H114:H145" si="22">IFERROR(G114*VAT_Rate,0)</f>
        <v>0</v>
      </c>
      <c r="I114" s="104">
        <f t="shared" ref="I114:I145" si="23">IFERROR(G114+H114,0)</f>
        <v>0</v>
      </c>
      <c r="J114" s="77"/>
      <c r="K114" s="77"/>
      <c r="L114" s="104">
        <f t="shared" ref="L114:L145" si="24">IFERROR(I114-K114,0)</f>
        <v>0</v>
      </c>
      <c r="M114" s="77"/>
    </row>
    <row r="115" spans="1:13" ht="15" customHeight="1" x14ac:dyDescent="0.25">
      <c r="A115" s="77"/>
      <c r="B115" s="77"/>
      <c r="C115" s="97" t="str">
        <f t="shared" si="20"/>
        <v/>
      </c>
      <c r="D115" s="77"/>
      <c r="E115" s="77"/>
      <c r="F115" s="98" t="str">
        <f t="shared" si="21"/>
        <v/>
      </c>
      <c r="G115" s="77"/>
      <c r="H115" s="104">
        <f t="shared" si="22"/>
        <v>0</v>
      </c>
      <c r="I115" s="104">
        <f t="shared" si="23"/>
        <v>0</v>
      </c>
      <c r="J115" s="77"/>
      <c r="K115" s="77"/>
      <c r="L115" s="104">
        <f t="shared" si="24"/>
        <v>0</v>
      </c>
      <c r="M115" s="77"/>
    </row>
    <row r="116" spans="1:13" ht="15" customHeight="1" x14ac:dyDescent="0.25">
      <c r="A116" s="77"/>
      <c r="B116" s="77"/>
      <c r="C116" s="97" t="str">
        <f t="shared" si="20"/>
        <v/>
      </c>
      <c r="D116" s="77"/>
      <c r="E116" s="77"/>
      <c r="F116" s="98" t="str">
        <f t="shared" si="21"/>
        <v/>
      </c>
      <c r="G116" s="77"/>
      <c r="H116" s="104">
        <f t="shared" si="22"/>
        <v>0</v>
      </c>
      <c r="I116" s="104">
        <f t="shared" si="23"/>
        <v>0</v>
      </c>
      <c r="J116" s="77"/>
      <c r="K116" s="77"/>
      <c r="L116" s="104">
        <f t="shared" si="24"/>
        <v>0</v>
      </c>
      <c r="M116" s="77"/>
    </row>
    <row r="117" spans="1:13" ht="15" customHeight="1" x14ac:dyDescent="0.25">
      <c r="A117" s="77"/>
      <c r="B117" s="77"/>
      <c r="C117" s="97" t="str">
        <f t="shared" si="20"/>
        <v/>
      </c>
      <c r="D117" s="77"/>
      <c r="E117" s="77"/>
      <c r="F117" s="98" t="str">
        <f t="shared" si="21"/>
        <v/>
      </c>
      <c r="G117" s="77"/>
      <c r="H117" s="104">
        <f t="shared" si="22"/>
        <v>0</v>
      </c>
      <c r="I117" s="104">
        <f t="shared" si="23"/>
        <v>0</v>
      </c>
      <c r="J117" s="77"/>
      <c r="K117" s="77"/>
      <c r="L117" s="104">
        <f t="shared" si="24"/>
        <v>0</v>
      </c>
      <c r="M117" s="77"/>
    </row>
    <row r="118" spans="1:13" ht="15" customHeight="1" x14ac:dyDescent="0.25">
      <c r="A118" s="77"/>
      <c r="B118" s="77"/>
      <c r="C118" s="97" t="str">
        <f t="shared" si="20"/>
        <v/>
      </c>
      <c r="D118" s="77"/>
      <c r="E118" s="77"/>
      <c r="F118" s="98" t="str">
        <f t="shared" si="21"/>
        <v/>
      </c>
      <c r="G118" s="77"/>
      <c r="H118" s="104">
        <f t="shared" si="22"/>
        <v>0</v>
      </c>
      <c r="I118" s="104">
        <f t="shared" si="23"/>
        <v>0</v>
      </c>
      <c r="J118" s="77"/>
      <c r="K118" s="77"/>
      <c r="L118" s="104">
        <f t="shared" si="24"/>
        <v>0</v>
      </c>
      <c r="M118" s="77"/>
    </row>
    <row r="119" spans="1:13" ht="15" customHeight="1" x14ac:dyDescent="0.25">
      <c r="A119" s="77"/>
      <c r="B119" s="77"/>
      <c r="C119" s="97" t="str">
        <f t="shared" si="20"/>
        <v/>
      </c>
      <c r="D119" s="77"/>
      <c r="E119" s="77"/>
      <c r="F119" s="98" t="str">
        <f t="shared" si="21"/>
        <v/>
      </c>
      <c r="G119" s="77"/>
      <c r="H119" s="104">
        <f t="shared" si="22"/>
        <v>0</v>
      </c>
      <c r="I119" s="104">
        <f t="shared" si="23"/>
        <v>0</v>
      </c>
      <c r="J119" s="77"/>
      <c r="K119" s="77"/>
      <c r="L119" s="104">
        <f t="shared" si="24"/>
        <v>0</v>
      </c>
      <c r="M119" s="77"/>
    </row>
    <row r="120" spans="1:13" ht="15" customHeight="1" x14ac:dyDescent="0.25">
      <c r="A120" s="77"/>
      <c r="B120" s="77"/>
      <c r="C120" s="97" t="str">
        <f t="shared" si="20"/>
        <v/>
      </c>
      <c r="D120" s="77"/>
      <c r="E120" s="77"/>
      <c r="F120" s="98" t="str">
        <f t="shared" si="21"/>
        <v/>
      </c>
      <c r="G120" s="77"/>
      <c r="H120" s="104">
        <f t="shared" si="22"/>
        <v>0</v>
      </c>
      <c r="I120" s="104">
        <f t="shared" si="23"/>
        <v>0</v>
      </c>
      <c r="J120" s="77"/>
      <c r="K120" s="77"/>
      <c r="L120" s="104">
        <f t="shared" si="24"/>
        <v>0</v>
      </c>
      <c r="M120" s="77"/>
    </row>
    <row r="121" spans="1:13" ht="15" customHeight="1" x14ac:dyDescent="0.25">
      <c r="A121" s="77"/>
      <c r="B121" s="77"/>
      <c r="C121" s="97" t="str">
        <f t="shared" si="20"/>
        <v/>
      </c>
      <c r="D121" s="77"/>
      <c r="E121" s="77"/>
      <c r="F121" s="98" t="str">
        <f t="shared" si="21"/>
        <v/>
      </c>
      <c r="G121" s="77"/>
      <c r="H121" s="104">
        <f t="shared" si="22"/>
        <v>0</v>
      </c>
      <c r="I121" s="104">
        <f t="shared" si="23"/>
        <v>0</v>
      </c>
      <c r="J121" s="77"/>
      <c r="K121" s="77"/>
      <c r="L121" s="104">
        <f t="shared" si="24"/>
        <v>0</v>
      </c>
      <c r="M121" s="77"/>
    </row>
    <row r="122" spans="1:13" ht="15" customHeight="1" x14ac:dyDescent="0.25">
      <c r="A122" s="77"/>
      <c r="B122" s="77"/>
      <c r="C122" s="97" t="str">
        <f t="shared" si="20"/>
        <v/>
      </c>
      <c r="D122" s="77"/>
      <c r="E122" s="77"/>
      <c r="F122" s="98" t="str">
        <f t="shared" si="21"/>
        <v/>
      </c>
      <c r="G122" s="77"/>
      <c r="H122" s="104">
        <f t="shared" si="22"/>
        <v>0</v>
      </c>
      <c r="I122" s="104">
        <f t="shared" si="23"/>
        <v>0</v>
      </c>
      <c r="J122" s="77"/>
      <c r="K122" s="77"/>
      <c r="L122" s="104">
        <f t="shared" si="24"/>
        <v>0</v>
      </c>
      <c r="M122" s="77"/>
    </row>
    <row r="123" spans="1:13" ht="15" customHeight="1" x14ac:dyDescent="0.25">
      <c r="A123" s="77"/>
      <c r="B123" s="77"/>
      <c r="C123" s="97" t="str">
        <f t="shared" si="20"/>
        <v/>
      </c>
      <c r="D123" s="77"/>
      <c r="E123" s="77"/>
      <c r="F123" s="98" t="str">
        <f t="shared" si="21"/>
        <v/>
      </c>
      <c r="G123" s="77"/>
      <c r="H123" s="104">
        <f t="shared" si="22"/>
        <v>0</v>
      </c>
      <c r="I123" s="104">
        <f t="shared" si="23"/>
        <v>0</v>
      </c>
      <c r="J123" s="77"/>
      <c r="K123" s="77"/>
      <c r="L123" s="104">
        <f t="shared" si="24"/>
        <v>0</v>
      </c>
      <c r="M123" s="77"/>
    </row>
    <row r="124" spans="1:13" ht="15" customHeight="1" x14ac:dyDescent="0.25">
      <c r="A124" s="77"/>
      <c r="B124" s="77"/>
      <c r="C124" s="97" t="str">
        <f t="shared" si="20"/>
        <v/>
      </c>
      <c r="D124" s="77"/>
      <c r="E124" s="77"/>
      <c r="F124" s="98" t="str">
        <f t="shared" si="21"/>
        <v/>
      </c>
      <c r="G124" s="77"/>
      <c r="H124" s="104">
        <f t="shared" si="22"/>
        <v>0</v>
      </c>
      <c r="I124" s="104">
        <f t="shared" si="23"/>
        <v>0</v>
      </c>
      <c r="J124" s="77"/>
      <c r="K124" s="77"/>
      <c r="L124" s="104">
        <f t="shared" si="24"/>
        <v>0</v>
      </c>
      <c r="M124" s="77"/>
    </row>
    <row r="125" spans="1:13" ht="15" customHeight="1" x14ac:dyDescent="0.25">
      <c r="A125" s="77"/>
      <c r="B125" s="77"/>
      <c r="C125" s="97" t="str">
        <f t="shared" si="20"/>
        <v/>
      </c>
      <c r="D125" s="77"/>
      <c r="E125" s="77"/>
      <c r="F125" s="98" t="str">
        <f t="shared" si="21"/>
        <v/>
      </c>
      <c r="G125" s="77"/>
      <c r="H125" s="104">
        <f t="shared" si="22"/>
        <v>0</v>
      </c>
      <c r="I125" s="104">
        <f t="shared" si="23"/>
        <v>0</v>
      </c>
      <c r="J125" s="77"/>
      <c r="K125" s="77"/>
      <c r="L125" s="104">
        <f t="shared" si="24"/>
        <v>0</v>
      </c>
      <c r="M125" s="77"/>
    </row>
    <row r="126" spans="1:13" ht="15" customHeight="1" x14ac:dyDescent="0.25">
      <c r="A126" s="77"/>
      <c r="B126" s="77"/>
      <c r="C126" s="97" t="str">
        <f t="shared" si="20"/>
        <v/>
      </c>
      <c r="D126" s="77"/>
      <c r="E126" s="77"/>
      <c r="F126" s="98" t="str">
        <f t="shared" si="21"/>
        <v/>
      </c>
      <c r="G126" s="77"/>
      <c r="H126" s="104">
        <f t="shared" si="22"/>
        <v>0</v>
      </c>
      <c r="I126" s="104">
        <f t="shared" si="23"/>
        <v>0</v>
      </c>
      <c r="J126" s="77"/>
      <c r="K126" s="77"/>
      <c r="L126" s="104">
        <f t="shared" si="24"/>
        <v>0</v>
      </c>
      <c r="M126" s="77"/>
    </row>
    <row r="127" spans="1:13" ht="15" customHeight="1" x14ac:dyDescent="0.25">
      <c r="A127" s="77"/>
      <c r="B127" s="77"/>
      <c r="C127" s="97" t="str">
        <f t="shared" si="20"/>
        <v/>
      </c>
      <c r="D127" s="77"/>
      <c r="E127" s="77"/>
      <c r="F127" s="98" t="str">
        <f t="shared" si="21"/>
        <v/>
      </c>
      <c r="G127" s="77"/>
      <c r="H127" s="104">
        <f t="shared" si="22"/>
        <v>0</v>
      </c>
      <c r="I127" s="104">
        <f t="shared" si="23"/>
        <v>0</v>
      </c>
      <c r="J127" s="77"/>
      <c r="K127" s="77"/>
      <c r="L127" s="104">
        <f t="shared" si="24"/>
        <v>0</v>
      </c>
      <c r="M127" s="77"/>
    </row>
    <row r="128" spans="1:13" ht="15" customHeight="1" x14ac:dyDescent="0.25">
      <c r="A128" s="77"/>
      <c r="B128" s="77"/>
      <c r="C128" s="97" t="str">
        <f t="shared" si="20"/>
        <v/>
      </c>
      <c r="D128" s="77"/>
      <c r="E128" s="77"/>
      <c r="F128" s="98" t="str">
        <f t="shared" si="21"/>
        <v/>
      </c>
      <c r="G128" s="77"/>
      <c r="H128" s="104">
        <f t="shared" si="22"/>
        <v>0</v>
      </c>
      <c r="I128" s="104">
        <f t="shared" si="23"/>
        <v>0</v>
      </c>
      <c r="J128" s="77"/>
      <c r="K128" s="77"/>
      <c r="L128" s="104">
        <f t="shared" si="24"/>
        <v>0</v>
      </c>
      <c r="M128" s="77"/>
    </row>
    <row r="129" spans="1:13" ht="15" customHeight="1" x14ac:dyDescent="0.25">
      <c r="A129" s="77"/>
      <c r="B129" s="77"/>
      <c r="C129" s="97" t="str">
        <f t="shared" si="20"/>
        <v/>
      </c>
      <c r="D129" s="77"/>
      <c r="E129" s="77"/>
      <c r="F129" s="98" t="str">
        <f t="shared" si="21"/>
        <v/>
      </c>
      <c r="G129" s="77"/>
      <c r="H129" s="104">
        <f t="shared" si="22"/>
        <v>0</v>
      </c>
      <c r="I129" s="104">
        <f t="shared" si="23"/>
        <v>0</v>
      </c>
      <c r="J129" s="77"/>
      <c r="K129" s="77"/>
      <c r="L129" s="104">
        <f t="shared" si="24"/>
        <v>0</v>
      </c>
      <c r="M129" s="77"/>
    </row>
    <row r="130" spans="1:13" ht="15" customHeight="1" x14ac:dyDescent="0.25">
      <c r="A130" s="77"/>
      <c r="B130" s="77"/>
      <c r="C130" s="97" t="str">
        <f t="shared" si="20"/>
        <v/>
      </c>
      <c r="D130" s="77"/>
      <c r="E130" s="77"/>
      <c r="F130" s="98" t="str">
        <f t="shared" si="21"/>
        <v/>
      </c>
      <c r="G130" s="77"/>
      <c r="H130" s="104">
        <f t="shared" si="22"/>
        <v>0</v>
      </c>
      <c r="I130" s="104">
        <f t="shared" si="23"/>
        <v>0</v>
      </c>
      <c r="J130" s="77"/>
      <c r="K130" s="77"/>
      <c r="L130" s="104">
        <f t="shared" si="24"/>
        <v>0</v>
      </c>
      <c r="M130" s="77"/>
    </row>
    <row r="131" spans="1:13" ht="15" customHeight="1" x14ac:dyDescent="0.25">
      <c r="A131" s="77"/>
      <c r="B131" s="77"/>
      <c r="C131" s="97" t="str">
        <f t="shared" ref="C131:C162" si="25">IFERROR(VLOOKUP(B131,Projects_Table,2,FALSE()),"")</f>
        <v/>
      </c>
      <c r="D131" s="77"/>
      <c r="E131" s="77"/>
      <c r="F131" s="98" t="str">
        <f t="shared" si="21"/>
        <v/>
      </c>
      <c r="G131" s="77"/>
      <c r="H131" s="104">
        <f t="shared" si="22"/>
        <v>0</v>
      </c>
      <c r="I131" s="104">
        <f t="shared" si="23"/>
        <v>0</v>
      </c>
      <c r="J131" s="77"/>
      <c r="K131" s="77"/>
      <c r="L131" s="104">
        <f t="shared" si="24"/>
        <v>0</v>
      </c>
      <c r="M131" s="77"/>
    </row>
    <row r="132" spans="1:13" ht="15" customHeight="1" x14ac:dyDescent="0.25">
      <c r="A132" s="77"/>
      <c r="B132" s="77"/>
      <c r="C132" s="97" t="str">
        <f t="shared" si="25"/>
        <v/>
      </c>
      <c r="D132" s="77"/>
      <c r="E132" s="77"/>
      <c r="F132" s="98" t="str">
        <f t="shared" si="21"/>
        <v/>
      </c>
      <c r="G132" s="77"/>
      <c r="H132" s="104">
        <f t="shared" si="22"/>
        <v>0</v>
      </c>
      <c r="I132" s="104">
        <f t="shared" si="23"/>
        <v>0</v>
      </c>
      <c r="J132" s="77"/>
      <c r="K132" s="77"/>
      <c r="L132" s="104">
        <f t="shared" si="24"/>
        <v>0</v>
      </c>
      <c r="M132" s="77"/>
    </row>
    <row r="133" spans="1:13" ht="15" customHeight="1" x14ac:dyDescent="0.25">
      <c r="A133" s="77"/>
      <c r="B133" s="77"/>
      <c r="C133" s="97" t="str">
        <f t="shared" si="25"/>
        <v/>
      </c>
      <c r="D133" s="77"/>
      <c r="E133" s="77"/>
      <c r="F133" s="98" t="str">
        <f t="shared" si="21"/>
        <v/>
      </c>
      <c r="G133" s="77"/>
      <c r="H133" s="104">
        <f t="shared" si="22"/>
        <v>0</v>
      </c>
      <c r="I133" s="104">
        <f t="shared" si="23"/>
        <v>0</v>
      </c>
      <c r="J133" s="77"/>
      <c r="K133" s="77"/>
      <c r="L133" s="104">
        <f t="shared" si="24"/>
        <v>0</v>
      </c>
      <c r="M133" s="77"/>
    </row>
    <row r="134" spans="1:13" ht="15" customHeight="1" x14ac:dyDescent="0.25">
      <c r="A134" s="77"/>
      <c r="B134" s="77"/>
      <c r="C134" s="97" t="str">
        <f t="shared" si="25"/>
        <v/>
      </c>
      <c r="D134" s="77"/>
      <c r="E134" s="77"/>
      <c r="F134" s="98" t="str">
        <f t="shared" si="21"/>
        <v/>
      </c>
      <c r="G134" s="77"/>
      <c r="H134" s="104">
        <f t="shared" si="22"/>
        <v>0</v>
      </c>
      <c r="I134" s="104">
        <f t="shared" si="23"/>
        <v>0</v>
      </c>
      <c r="J134" s="77"/>
      <c r="K134" s="77"/>
      <c r="L134" s="104">
        <f t="shared" si="24"/>
        <v>0</v>
      </c>
      <c r="M134" s="77"/>
    </row>
    <row r="135" spans="1:13" ht="15" customHeight="1" x14ac:dyDescent="0.25">
      <c r="A135" s="77"/>
      <c r="B135" s="77"/>
      <c r="C135" s="97" t="str">
        <f t="shared" si="25"/>
        <v/>
      </c>
      <c r="D135" s="77"/>
      <c r="E135" s="77"/>
      <c r="F135" s="98" t="str">
        <f t="shared" si="21"/>
        <v/>
      </c>
      <c r="G135" s="77"/>
      <c r="H135" s="104">
        <f t="shared" si="22"/>
        <v>0</v>
      </c>
      <c r="I135" s="104">
        <f t="shared" si="23"/>
        <v>0</v>
      </c>
      <c r="J135" s="77"/>
      <c r="K135" s="77"/>
      <c r="L135" s="104">
        <f t="shared" si="24"/>
        <v>0</v>
      </c>
      <c r="M135" s="77"/>
    </row>
    <row r="136" spans="1:13" ht="15" customHeight="1" x14ac:dyDescent="0.25">
      <c r="A136" s="77"/>
      <c r="B136" s="77"/>
      <c r="C136" s="97" t="str">
        <f t="shared" si="25"/>
        <v/>
      </c>
      <c r="D136" s="77"/>
      <c r="E136" s="77"/>
      <c r="F136" s="98" t="str">
        <f t="shared" si="21"/>
        <v/>
      </c>
      <c r="G136" s="77"/>
      <c r="H136" s="104">
        <f t="shared" si="22"/>
        <v>0</v>
      </c>
      <c r="I136" s="104">
        <f t="shared" si="23"/>
        <v>0</v>
      </c>
      <c r="J136" s="77"/>
      <c r="K136" s="77"/>
      <c r="L136" s="104">
        <f t="shared" si="24"/>
        <v>0</v>
      </c>
      <c r="M136" s="77"/>
    </row>
    <row r="137" spans="1:13" ht="15" customHeight="1" x14ac:dyDescent="0.25">
      <c r="A137" s="77"/>
      <c r="B137" s="77"/>
      <c r="C137" s="97" t="str">
        <f t="shared" si="25"/>
        <v/>
      </c>
      <c r="D137" s="77"/>
      <c r="E137" s="77"/>
      <c r="F137" s="98" t="str">
        <f t="shared" si="21"/>
        <v/>
      </c>
      <c r="G137" s="77"/>
      <c r="H137" s="104">
        <f t="shared" si="22"/>
        <v>0</v>
      </c>
      <c r="I137" s="104">
        <f t="shared" si="23"/>
        <v>0</v>
      </c>
      <c r="J137" s="77"/>
      <c r="K137" s="77"/>
      <c r="L137" s="104">
        <f t="shared" si="24"/>
        <v>0</v>
      </c>
      <c r="M137" s="77"/>
    </row>
    <row r="138" spans="1:13" ht="15" customHeight="1" x14ac:dyDescent="0.25">
      <c r="A138" s="77"/>
      <c r="B138" s="77"/>
      <c r="C138" s="97" t="str">
        <f t="shared" si="25"/>
        <v/>
      </c>
      <c r="D138" s="77"/>
      <c r="E138" s="77"/>
      <c r="F138" s="98" t="str">
        <f t="shared" si="21"/>
        <v/>
      </c>
      <c r="G138" s="77"/>
      <c r="H138" s="104">
        <f t="shared" si="22"/>
        <v>0</v>
      </c>
      <c r="I138" s="104">
        <f t="shared" si="23"/>
        <v>0</v>
      </c>
      <c r="J138" s="77"/>
      <c r="K138" s="77"/>
      <c r="L138" s="104">
        <f t="shared" si="24"/>
        <v>0</v>
      </c>
      <c r="M138" s="77"/>
    </row>
    <row r="139" spans="1:13" ht="15" customHeight="1" x14ac:dyDescent="0.25">
      <c r="A139" s="77"/>
      <c r="B139" s="77"/>
      <c r="C139" s="97" t="str">
        <f t="shared" si="25"/>
        <v/>
      </c>
      <c r="D139" s="77"/>
      <c r="E139" s="77"/>
      <c r="F139" s="98" t="str">
        <f t="shared" si="21"/>
        <v/>
      </c>
      <c r="G139" s="77"/>
      <c r="H139" s="104">
        <f t="shared" si="22"/>
        <v>0</v>
      </c>
      <c r="I139" s="104">
        <f t="shared" si="23"/>
        <v>0</v>
      </c>
      <c r="J139" s="77"/>
      <c r="K139" s="77"/>
      <c r="L139" s="104">
        <f t="shared" si="24"/>
        <v>0</v>
      </c>
      <c r="M139" s="77"/>
    </row>
    <row r="140" spans="1:13" ht="15" customHeight="1" x14ac:dyDescent="0.25">
      <c r="A140" s="77"/>
      <c r="B140" s="77"/>
      <c r="C140" s="97" t="str">
        <f t="shared" si="25"/>
        <v/>
      </c>
      <c r="D140" s="77"/>
      <c r="E140" s="77"/>
      <c r="F140" s="98" t="str">
        <f t="shared" si="21"/>
        <v/>
      </c>
      <c r="G140" s="77"/>
      <c r="H140" s="104">
        <f t="shared" si="22"/>
        <v>0</v>
      </c>
      <c r="I140" s="104">
        <f t="shared" si="23"/>
        <v>0</v>
      </c>
      <c r="J140" s="77"/>
      <c r="K140" s="77"/>
      <c r="L140" s="104">
        <f t="shared" si="24"/>
        <v>0</v>
      </c>
      <c r="M140" s="77"/>
    </row>
    <row r="141" spans="1:13" ht="15" customHeight="1" x14ac:dyDescent="0.25">
      <c r="A141" s="77"/>
      <c r="B141" s="77"/>
      <c r="C141" s="97" t="str">
        <f t="shared" si="25"/>
        <v/>
      </c>
      <c r="D141" s="77"/>
      <c r="E141" s="77"/>
      <c r="F141" s="98" t="str">
        <f t="shared" si="21"/>
        <v/>
      </c>
      <c r="G141" s="77"/>
      <c r="H141" s="104">
        <f t="shared" si="22"/>
        <v>0</v>
      </c>
      <c r="I141" s="104">
        <f t="shared" si="23"/>
        <v>0</v>
      </c>
      <c r="J141" s="77"/>
      <c r="K141" s="77"/>
      <c r="L141" s="104">
        <f t="shared" si="24"/>
        <v>0</v>
      </c>
      <c r="M141" s="77"/>
    </row>
    <row r="142" spans="1:13" ht="15" customHeight="1" x14ac:dyDescent="0.25">
      <c r="A142" s="77"/>
      <c r="B142" s="77"/>
      <c r="C142" s="97" t="str">
        <f t="shared" si="25"/>
        <v/>
      </c>
      <c r="D142" s="77"/>
      <c r="E142" s="77"/>
      <c r="F142" s="98" t="str">
        <f t="shared" si="21"/>
        <v/>
      </c>
      <c r="G142" s="77"/>
      <c r="H142" s="104">
        <f t="shared" si="22"/>
        <v>0</v>
      </c>
      <c r="I142" s="104">
        <f t="shared" si="23"/>
        <v>0</v>
      </c>
      <c r="J142" s="77"/>
      <c r="K142" s="77"/>
      <c r="L142" s="104">
        <f t="shared" si="24"/>
        <v>0</v>
      </c>
      <c r="M142" s="77"/>
    </row>
    <row r="143" spans="1:13" ht="15" customHeight="1" x14ac:dyDescent="0.25">
      <c r="A143" s="77"/>
      <c r="B143" s="77"/>
      <c r="C143" s="97" t="str">
        <f t="shared" si="25"/>
        <v/>
      </c>
      <c r="D143" s="77"/>
      <c r="E143" s="77"/>
      <c r="F143" s="98" t="str">
        <f t="shared" si="21"/>
        <v/>
      </c>
      <c r="G143" s="77"/>
      <c r="H143" s="104">
        <f t="shared" si="22"/>
        <v>0</v>
      </c>
      <c r="I143" s="104">
        <f t="shared" si="23"/>
        <v>0</v>
      </c>
      <c r="J143" s="77"/>
      <c r="K143" s="77"/>
      <c r="L143" s="104">
        <f t="shared" si="24"/>
        <v>0</v>
      </c>
      <c r="M143" s="77"/>
    </row>
    <row r="144" spans="1:13" ht="15" customHeight="1" x14ac:dyDescent="0.25">
      <c r="A144" s="77"/>
      <c r="B144" s="77"/>
      <c r="C144" s="97" t="str">
        <f t="shared" si="25"/>
        <v/>
      </c>
      <c r="D144" s="77"/>
      <c r="E144" s="77"/>
      <c r="F144" s="98" t="str">
        <f t="shared" si="21"/>
        <v/>
      </c>
      <c r="G144" s="77"/>
      <c r="H144" s="104">
        <f t="shared" si="22"/>
        <v>0</v>
      </c>
      <c r="I144" s="104">
        <f t="shared" si="23"/>
        <v>0</v>
      </c>
      <c r="J144" s="77"/>
      <c r="K144" s="77"/>
      <c r="L144" s="104">
        <f t="shared" si="24"/>
        <v>0</v>
      </c>
      <c r="M144" s="77"/>
    </row>
    <row r="145" spans="1:13" ht="15" customHeight="1" x14ac:dyDescent="0.25">
      <c r="A145" s="77"/>
      <c r="B145" s="77"/>
      <c r="C145" s="97" t="str">
        <f t="shared" si="25"/>
        <v/>
      </c>
      <c r="D145" s="77"/>
      <c r="E145" s="77"/>
      <c r="F145" s="98" t="str">
        <f t="shared" si="21"/>
        <v/>
      </c>
      <c r="G145" s="77"/>
      <c r="H145" s="104">
        <f t="shared" si="22"/>
        <v>0</v>
      </c>
      <c r="I145" s="104">
        <f t="shared" si="23"/>
        <v>0</v>
      </c>
      <c r="J145" s="77"/>
      <c r="K145" s="77"/>
      <c r="L145" s="104">
        <f t="shared" si="24"/>
        <v>0</v>
      </c>
      <c r="M145" s="77"/>
    </row>
    <row r="146" spans="1:13" ht="15" customHeight="1" x14ac:dyDescent="0.25">
      <c r="A146" s="77"/>
      <c r="B146" s="77"/>
      <c r="C146" s="97" t="str">
        <f t="shared" si="25"/>
        <v/>
      </c>
      <c r="D146" s="77"/>
      <c r="E146" s="77"/>
      <c r="F146" s="98" t="str">
        <f t="shared" ref="F146:F177" si="26">IF(E146="","",E146+Balance_Due_Days)</f>
        <v/>
      </c>
      <c r="G146" s="77"/>
      <c r="H146" s="104">
        <f t="shared" ref="H146:H177" si="27">IFERROR(G146*VAT_Rate,0)</f>
        <v>0</v>
      </c>
      <c r="I146" s="104">
        <f t="shared" ref="I146:I177" si="28">IFERROR(G146+H146,0)</f>
        <v>0</v>
      </c>
      <c r="J146" s="77"/>
      <c r="K146" s="77"/>
      <c r="L146" s="104">
        <f t="shared" ref="L146:L177" si="29">IFERROR(I146-K146,0)</f>
        <v>0</v>
      </c>
      <c r="M146" s="77"/>
    </row>
    <row r="147" spans="1:13" ht="15" customHeight="1" x14ac:dyDescent="0.25">
      <c r="A147" s="77"/>
      <c r="B147" s="77"/>
      <c r="C147" s="97" t="str">
        <f t="shared" si="25"/>
        <v/>
      </c>
      <c r="D147" s="77"/>
      <c r="E147" s="77"/>
      <c r="F147" s="98" t="str">
        <f t="shared" si="26"/>
        <v/>
      </c>
      <c r="G147" s="77"/>
      <c r="H147" s="104">
        <f t="shared" si="27"/>
        <v>0</v>
      </c>
      <c r="I147" s="104">
        <f t="shared" si="28"/>
        <v>0</v>
      </c>
      <c r="J147" s="77"/>
      <c r="K147" s="77"/>
      <c r="L147" s="104">
        <f t="shared" si="29"/>
        <v>0</v>
      </c>
      <c r="M147" s="77"/>
    </row>
    <row r="148" spans="1:13" ht="15" customHeight="1" x14ac:dyDescent="0.25">
      <c r="A148" s="77"/>
      <c r="B148" s="77"/>
      <c r="C148" s="97" t="str">
        <f t="shared" si="25"/>
        <v/>
      </c>
      <c r="D148" s="77"/>
      <c r="E148" s="77"/>
      <c r="F148" s="98" t="str">
        <f t="shared" si="26"/>
        <v/>
      </c>
      <c r="G148" s="77"/>
      <c r="H148" s="104">
        <f t="shared" si="27"/>
        <v>0</v>
      </c>
      <c r="I148" s="104">
        <f t="shared" si="28"/>
        <v>0</v>
      </c>
      <c r="J148" s="77"/>
      <c r="K148" s="77"/>
      <c r="L148" s="104">
        <f t="shared" si="29"/>
        <v>0</v>
      </c>
      <c r="M148" s="77"/>
    </row>
    <row r="149" spans="1:13" ht="15" customHeight="1" x14ac:dyDescent="0.25">
      <c r="A149" s="77"/>
      <c r="B149" s="77"/>
      <c r="C149" s="97" t="str">
        <f t="shared" si="25"/>
        <v/>
      </c>
      <c r="D149" s="77"/>
      <c r="E149" s="77"/>
      <c r="F149" s="98" t="str">
        <f t="shared" si="26"/>
        <v/>
      </c>
      <c r="G149" s="77"/>
      <c r="H149" s="104">
        <f t="shared" si="27"/>
        <v>0</v>
      </c>
      <c r="I149" s="104">
        <f t="shared" si="28"/>
        <v>0</v>
      </c>
      <c r="J149" s="77"/>
      <c r="K149" s="77"/>
      <c r="L149" s="104">
        <f t="shared" si="29"/>
        <v>0</v>
      </c>
      <c r="M149" s="77"/>
    </row>
    <row r="150" spans="1:13" ht="15" customHeight="1" x14ac:dyDescent="0.25">
      <c r="A150" s="77"/>
      <c r="B150" s="77"/>
      <c r="C150" s="97" t="str">
        <f t="shared" si="25"/>
        <v/>
      </c>
      <c r="D150" s="77"/>
      <c r="E150" s="77"/>
      <c r="F150" s="98" t="str">
        <f t="shared" si="26"/>
        <v/>
      </c>
      <c r="G150" s="77"/>
      <c r="H150" s="104">
        <f t="shared" si="27"/>
        <v>0</v>
      </c>
      <c r="I150" s="104">
        <f t="shared" si="28"/>
        <v>0</v>
      </c>
      <c r="J150" s="77"/>
      <c r="K150" s="77"/>
      <c r="L150" s="104">
        <f t="shared" si="29"/>
        <v>0</v>
      </c>
      <c r="M150" s="77"/>
    </row>
    <row r="151" spans="1:13" ht="15" customHeight="1" x14ac:dyDescent="0.25">
      <c r="A151" s="77"/>
      <c r="B151" s="77"/>
      <c r="C151" s="97" t="str">
        <f t="shared" si="25"/>
        <v/>
      </c>
      <c r="D151" s="77"/>
      <c r="E151" s="77"/>
      <c r="F151" s="98" t="str">
        <f t="shared" si="26"/>
        <v/>
      </c>
      <c r="G151" s="77"/>
      <c r="H151" s="104">
        <f t="shared" si="27"/>
        <v>0</v>
      </c>
      <c r="I151" s="104">
        <f t="shared" si="28"/>
        <v>0</v>
      </c>
      <c r="J151" s="77"/>
      <c r="K151" s="77"/>
      <c r="L151" s="104">
        <f t="shared" si="29"/>
        <v>0</v>
      </c>
      <c r="M151" s="77"/>
    </row>
    <row r="152" spans="1:13" ht="15" customHeight="1" x14ac:dyDescent="0.25">
      <c r="A152" s="77"/>
      <c r="B152" s="77"/>
      <c r="C152" s="97" t="str">
        <f t="shared" si="25"/>
        <v/>
      </c>
      <c r="D152" s="77"/>
      <c r="E152" s="77"/>
      <c r="F152" s="98" t="str">
        <f t="shared" si="26"/>
        <v/>
      </c>
      <c r="G152" s="77"/>
      <c r="H152" s="104">
        <f t="shared" si="27"/>
        <v>0</v>
      </c>
      <c r="I152" s="104">
        <f t="shared" si="28"/>
        <v>0</v>
      </c>
      <c r="J152" s="77"/>
      <c r="K152" s="77"/>
      <c r="L152" s="104">
        <f t="shared" si="29"/>
        <v>0</v>
      </c>
      <c r="M152" s="77"/>
    </row>
    <row r="153" spans="1:13" ht="15" customHeight="1" x14ac:dyDescent="0.25">
      <c r="A153" s="77"/>
      <c r="B153" s="77"/>
      <c r="C153" s="97" t="str">
        <f t="shared" si="25"/>
        <v/>
      </c>
      <c r="D153" s="77"/>
      <c r="E153" s="77"/>
      <c r="F153" s="98" t="str">
        <f t="shared" si="26"/>
        <v/>
      </c>
      <c r="G153" s="77"/>
      <c r="H153" s="104">
        <f t="shared" si="27"/>
        <v>0</v>
      </c>
      <c r="I153" s="104">
        <f t="shared" si="28"/>
        <v>0</v>
      </c>
      <c r="J153" s="77"/>
      <c r="K153" s="77"/>
      <c r="L153" s="104">
        <f t="shared" si="29"/>
        <v>0</v>
      </c>
      <c r="M153" s="77"/>
    </row>
    <row r="154" spans="1:13" ht="15" customHeight="1" x14ac:dyDescent="0.25">
      <c r="A154" s="77"/>
      <c r="B154" s="77"/>
      <c r="C154" s="97" t="str">
        <f t="shared" si="25"/>
        <v/>
      </c>
      <c r="D154" s="77"/>
      <c r="E154" s="77"/>
      <c r="F154" s="98" t="str">
        <f t="shared" si="26"/>
        <v/>
      </c>
      <c r="G154" s="77"/>
      <c r="H154" s="104">
        <f t="shared" si="27"/>
        <v>0</v>
      </c>
      <c r="I154" s="104">
        <f t="shared" si="28"/>
        <v>0</v>
      </c>
      <c r="J154" s="77"/>
      <c r="K154" s="77"/>
      <c r="L154" s="104">
        <f t="shared" si="29"/>
        <v>0</v>
      </c>
      <c r="M154" s="77"/>
    </row>
    <row r="155" spans="1:13" ht="15" customHeight="1" x14ac:dyDescent="0.25">
      <c r="A155" s="77"/>
      <c r="B155" s="77"/>
      <c r="C155" s="97" t="str">
        <f t="shared" si="25"/>
        <v/>
      </c>
      <c r="D155" s="77"/>
      <c r="E155" s="77"/>
      <c r="F155" s="98" t="str">
        <f t="shared" si="26"/>
        <v/>
      </c>
      <c r="G155" s="77"/>
      <c r="H155" s="104">
        <f t="shared" si="27"/>
        <v>0</v>
      </c>
      <c r="I155" s="104">
        <f t="shared" si="28"/>
        <v>0</v>
      </c>
      <c r="J155" s="77"/>
      <c r="K155" s="77"/>
      <c r="L155" s="104">
        <f t="shared" si="29"/>
        <v>0</v>
      </c>
      <c r="M155" s="77"/>
    </row>
    <row r="156" spans="1:13" ht="15" customHeight="1" x14ac:dyDescent="0.25">
      <c r="A156" s="77"/>
      <c r="B156" s="77"/>
      <c r="C156" s="97" t="str">
        <f t="shared" si="25"/>
        <v/>
      </c>
      <c r="D156" s="77"/>
      <c r="E156" s="77"/>
      <c r="F156" s="98" t="str">
        <f t="shared" si="26"/>
        <v/>
      </c>
      <c r="G156" s="77"/>
      <c r="H156" s="104">
        <f t="shared" si="27"/>
        <v>0</v>
      </c>
      <c r="I156" s="104">
        <f t="shared" si="28"/>
        <v>0</v>
      </c>
      <c r="J156" s="77"/>
      <c r="K156" s="77"/>
      <c r="L156" s="104">
        <f t="shared" si="29"/>
        <v>0</v>
      </c>
      <c r="M156" s="77"/>
    </row>
    <row r="157" spans="1:13" ht="15" customHeight="1" x14ac:dyDescent="0.25">
      <c r="A157" s="77"/>
      <c r="B157" s="77"/>
      <c r="C157" s="97" t="str">
        <f t="shared" si="25"/>
        <v/>
      </c>
      <c r="D157" s="77"/>
      <c r="E157" s="77"/>
      <c r="F157" s="98" t="str">
        <f t="shared" si="26"/>
        <v/>
      </c>
      <c r="G157" s="77"/>
      <c r="H157" s="104">
        <f t="shared" si="27"/>
        <v>0</v>
      </c>
      <c r="I157" s="104">
        <f t="shared" si="28"/>
        <v>0</v>
      </c>
      <c r="J157" s="77"/>
      <c r="K157" s="77"/>
      <c r="L157" s="104">
        <f t="shared" si="29"/>
        <v>0</v>
      </c>
      <c r="M157" s="77"/>
    </row>
    <row r="158" spans="1:13" ht="15" customHeight="1" x14ac:dyDescent="0.25">
      <c r="A158" s="77"/>
      <c r="B158" s="77"/>
      <c r="C158" s="97" t="str">
        <f t="shared" si="25"/>
        <v/>
      </c>
      <c r="D158" s="77"/>
      <c r="E158" s="77"/>
      <c r="F158" s="98" t="str">
        <f t="shared" si="26"/>
        <v/>
      </c>
      <c r="G158" s="77"/>
      <c r="H158" s="104">
        <f t="shared" si="27"/>
        <v>0</v>
      </c>
      <c r="I158" s="104">
        <f t="shared" si="28"/>
        <v>0</v>
      </c>
      <c r="J158" s="77"/>
      <c r="K158" s="77"/>
      <c r="L158" s="104">
        <f t="shared" si="29"/>
        <v>0</v>
      </c>
      <c r="M158" s="77"/>
    </row>
    <row r="159" spans="1:13" ht="15" customHeight="1" x14ac:dyDescent="0.25">
      <c r="A159" s="77"/>
      <c r="B159" s="77"/>
      <c r="C159" s="97" t="str">
        <f t="shared" si="25"/>
        <v/>
      </c>
      <c r="D159" s="77"/>
      <c r="E159" s="77"/>
      <c r="F159" s="98" t="str">
        <f t="shared" si="26"/>
        <v/>
      </c>
      <c r="G159" s="77"/>
      <c r="H159" s="104">
        <f t="shared" si="27"/>
        <v>0</v>
      </c>
      <c r="I159" s="104">
        <f t="shared" si="28"/>
        <v>0</v>
      </c>
      <c r="J159" s="77"/>
      <c r="K159" s="77"/>
      <c r="L159" s="104">
        <f t="shared" si="29"/>
        <v>0</v>
      </c>
      <c r="M159" s="77"/>
    </row>
    <row r="160" spans="1:13" ht="15" customHeight="1" x14ac:dyDescent="0.25">
      <c r="A160" s="77"/>
      <c r="B160" s="77"/>
      <c r="C160" s="97" t="str">
        <f t="shared" si="25"/>
        <v/>
      </c>
      <c r="D160" s="77"/>
      <c r="E160" s="77"/>
      <c r="F160" s="98" t="str">
        <f t="shared" si="26"/>
        <v/>
      </c>
      <c r="G160" s="77"/>
      <c r="H160" s="104">
        <f t="shared" si="27"/>
        <v>0</v>
      </c>
      <c r="I160" s="104">
        <f t="shared" si="28"/>
        <v>0</v>
      </c>
      <c r="J160" s="77"/>
      <c r="K160" s="77"/>
      <c r="L160" s="104">
        <f t="shared" si="29"/>
        <v>0</v>
      </c>
      <c r="M160" s="77"/>
    </row>
    <row r="161" spans="1:13" ht="15" customHeight="1" x14ac:dyDescent="0.25">
      <c r="A161" s="77"/>
      <c r="B161" s="77"/>
      <c r="C161" s="97" t="str">
        <f t="shared" si="25"/>
        <v/>
      </c>
      <c r="D161" s="77"/>
      <c r="E161" s="77"/>
      <c r="F161" s="98" t="str">
        <f t="shared" si="26"/>
        <v/>
      </c>
      <c r="G161" s="77"/>
      <c r="H161" s="104">
        <f t="shared" si="27"/>
        <v>0</v>
      </c>
      <c r="I161" s="104">
        <f t="shared" si="28"/>
        <v>0</v>
      </c>
      <c r="J161" s="77"/>
      <c r="K161" s="77"/>
      <c r="L161" s="104">
        <f t="shared" si="29"/>
        <v>0</v>
      </c>
      <c r="M161" s="77"/>
    </row>
    <row r="162" spans="1:13" ht="15" customHeight="1" x14ac:dyDescent="0.25">
      <c r="A162" s="77"/>
      <c r="B162" s="77"/>
      <c r="C162" s="97" t="str">
        <f t="shared" si="25"/>
        <v/>
      </c>
      <c r="D162" s="77"/>
      <c r="E162" s="77"/>
      <c r="F162" s="98" t="str">
        <f t="shared" si="26"/>
        <v/>
      </c>
      <c r="G162" s="77"/>
      <c r="H162" s="104">
        <f t="shared" si="27"/>
        <v>0</v>
      </c>
      <c r="I162" s="104">
        <f t="shared" si="28"/>
        <v>0</v>
      </c>
      <c r="J162" s="77"/>
      <c r="K162" s="77"/>
      <c r="L162" s="104">
        <f t="shared" si="29"/>
        <v>0</v>
      </c>
      <c r="M162" s="77"/>
    </row>
    <row r="163" spans="1:13" ht="15" customHeight="1" x14ac:dyDescent="0.25">
      <c r="A163" s="77"/>
      <c r="B163" s="77"/>
      <c r="C163" s="97" t="str">
        <f t="shared" ref="C163:C194" si="30">IFERROR(VLOOKUP(B163,Projects_Table,2,FALSE()),"")</f>
        <v/>
      </c>
      <c r="D163" s="77"/>
      <c r="E163" s="77"/>
      <c r="F163" s="98" t="str">
        <f t="shared" si="26"/>
        <v/>
      </c>
      <c r="G163" s="77"/>
      <c r="H163" s="104">
        <f t="shared" si="27"/>
        <v>0</v>
      </c>
      <c r="I163" s="104">
        <f t="shared" si="28"/>
        <v>0</v>
      </c>
      <c r="J163" s="77"/>
      <c r="K163" s="77"/>
      <c r="L163" s="104">
        <f t="shared" si="29"/>
        <v>0</v>
      </c>
      <c r="M163" s="77"/>
    </row>
    <row r="164" spans="1:13" ht="15" customHeight="1" x14ac:dyDescent="0.25">
      <c r="A164" s="77"/>
      <c r="B164" s="77"/>
      <c r="C164" s="97" t="str">
        <f t="shared" si="30"/>
        <v/>
      </c>
      <c r="D164" s="77"/>
      <c r="E164" s="77"/>
      <c r="F164" s="98" t="str">
        <f t="shared" si="26"/>
        <v/>
      </c>
      <c r="G164" s="77"/>
      <c r="H164" s="104">
        <f t="shared" si="27"/>
        <v>0</v>
      </c>
      <c r="I164" s="104">
        <f t="shared" si="28"/>
        <v>0</v>
      </c>
      <c r="J164" s="77"/>
      <c r="K164" s="77"/>
      <c r="L164" s="104">
        <f t="shared" si="29"/>
        <v>0</v>
      </c>
      <c r="M164" s="77"/>
    </row>
    <row r="165" spans="1:13" ht="15" customHeight="1" x14ac:dyDescent="0.25">
      <c r="A165" s="77"/>
      <c r="B165" s="77"/>
      <c r="C165" s="97" t="str">
        <f t="shared" si="30"/>
        <v/>
      </c>
      <c r="D165" s="77"/>
      <c r="E165" s="77"/>
      <c r="F165" s="98" t="str">
        <f t="shared" si="26"/>
        <v/>
      </c>
      <c r="G165" s="77"/>
      <c r="H165" s="104">
        <f t="shared" si="27"/>
        <v>0</v>
      </c>
      <c r="I165" s="104">
        <f t="shared" si="28"/>
        <v>0</v>
      </c>
      <c r="J165" s="77"/>
      <c r="K165" s="77"/>
      <c r="L165" s="104">
        <f t="shared" si="29"/>
        <v>0</v>
      </c>
      <c r="M165" s="77"/>
    </row>
    <row r="166" spans="1:13" ht="15" customHeight="1" x14ac:dyDescent="0.25">
      <c r="A166" s="77"/>
      <c r="B166" s="77"/>
      <c r="C166" s="97" t="str">
        <f t="shared" si="30"/>
        <v/>
      </c>
      <c r="D166" s="77"/>
      <c r="E166" s="77"/>
      <c r="F166" s="98" t="str">
        <f t="shared" si="26"/>
        <v/>
      </c>
      <c r="G166" s="77"/>
      <c r="H166" s="104">
        <f t="shared" si="27"/>
        <v>0</v>
      </c>
      <c r="I166" s="104">
        <f t="shared" si="28"/>
        <v>0</v>
      </c>
      <c r="J166" s="77"/>
      <c r="K166" s="77"/>
      <c r="L166" s="104">
        <f t="shared" si="29"/>
        <v>0</v>
      </c>
      <c r="M166" s="77"/>
    </row>
    <row r="167" spans="1:13" ht="15" customHeight="1" x14ac:dyDescent="0.25">
      <c r="A167" s="77"/>
      <c r="B167" s="77"/>
      <c r="C167" s="97" t="str">
        <f t="shared" si="30"/>
        <v/>
      </c>
      <c r="D167" s="77"/>
      <c r="E167" s="77"/>
      <c r="F167" s="98" t="str">
        <f t="shared" si="26"/>
        <v/>
      </c>
      <c r="G167" s="77"/>
      <c r="H167" s="104">
        <f t="shared" si="27"/>
        <v>0</v>
      </c>
      <c r="I167" s="104">
        <f t="shared" si="28"/>
        <v>0</v>
      </c>
      <c r="J167" s="77"/>
      <c r="K167" s="77"/>
      <c r="L167" s="104">
        <f t="shared" si="29"/>
        <v>0</v>
      </c>
      <c r="M167" s="77"/>
    </row>
    <row r="168" spans="1:13" ht="15" customHeight="1" x14ac:dyDescent="0.25">
      <c r="A168" s="77"/>
      <c r="B168" s="77"/>
      <c r="C168" s="97" t="str">
        <f t="shared" si="30"/>
        <v/>
      </c>
      <c r="D168" s="77"/>
      <c r="E168" s="77"/>
      <c r="F168" s="98" t="str">
        <f t="shared" si="26"/>
        <v/>
      </c>
      <c r="G168" s="77"/>
      <c r="H168" s="104">
        <f t="shared" si="27"/>
        <v>0</v>
      </c>
      <c r="I168" s="104">
        <f t="shared" si="28"/>
        <v>0</v>
      </c>
      <c r="J168" s="77"/>
      <c r="K168" s="77"/>
      <c r="L168" s="104">
        <f t="shared" si="29"/>
        <v>0</v>
      </c>
      <c r="M168" s="77"/>
    </row>
    <row r="169" spans="1:13" ht="15" customHeight="1" x14ac:dyDescent="0.25">
      <c r="A169" s="77"/>
      <c r="B169" s="77"/>
      <c r="C169" s="97" t="str">
        <f t="shared" si="30"/>
        <v/>
      </c>
      <c r="D169" s="77"/>
      <c r="E169" s="77"/>
      <c r="F169" s="98" t="str">
        <f t="shared" si="26"/>
        <v/>
      </c>
      <c r="G169" s="77"/>
      <c r="H169" s="104">
        <f t="shared" si="27"/>
        <v>0</v>
      </c>
      <c r="I169" s="104">
        <f t="shared" si="28"/>
        <v>0</v>
      </c>
      <c r="J169" s="77"/>
      <c r="K169" s="77"/>
      <c r="L169" s="104">
        <f t="shared" si="29"/>
        <v>0</v>
      </c>
      <c r="M169" s="77"/>
    </row>
    <row r="170" spans="1:13" ht="15" customHeight="1" x14ac:dyDescent="0.25">
      <c r="A170" s="77"/>
      <c r="B170" s="77"/>
      <c r="C170" s="97" t="str">
        <f t="shared" si="30"/>
        <v/>
      </c>
      <c r="D170" s="77"/>
      <c r="E170" s="77"/>
      <c r="F170" s="98" t="str">
        <f t="shared" si="26"/>
        <v/>
      </c>
      <c r="G170" s="77"/>
      <c r="H170" s="104">
        <f t="shared" si="27"/>
        <v>0</v>
      </c>
      <c r="I170" s="104">
        <f t="shared" si="28"/>
        <v>0</v>
      </c>
      <c r="J170" s="77"/>
      <c r="K170" s="77"/>
      <c r="L170" s="104">
        <f t="shared" si="29"/>
        <v>0</v>
      </c>
      <c r="M170" s="77"/>
    </row>
    <row r="171" spans="1:13" ht="15" customHeight="1" x14ac:dyDescent="0.25">
      <c r="A171" s="77"/>
      <c r="B171" s="77"/>
      <c r="C171" s="97" t="str">
        <f t="shared" si="30"/>
        <v/>
      </c>
      <c r="D171" s="77"/>
      <c r="E171" s="77"/>
      <c r="F171" s="98" t="str">
        <f t="shared" si="26"/>
        <v/>
      </c>
      <c r="G171" s="77"/>
      <c r="H171" s="104">
        <f t="shared" si="27"/>
        <v>0</v>
      </c>
      <c r="I171" s="104">
        <f t="shared" si="28"/>
        <v>0</v>
      </c>
      <c r="J171" s="77"/>
      <c r="K171" s="77"/>
      <c r="L171" s="104">
        <f t="shared" si="29"/>
        <v>0</v>
      </c>
      <c r="M171" s="77"/>
    </row>
    <row r="172" spans="1:13" ht="15" customHeight="1" x14ac:dyDescent="0.25">
      <c r="A172" s="77"/>
      <c r="B172" s="77"/>
      <c r="C172" s="97" t="str">
        <f t="shared" si="30"/>
        <v/>
      </c>
      <c r="D172" s="77"/>
      <c r="E172" s="77"/>
      <c r="F172" s="98" t="str">
        <f t="shared" si="26"/>
        <v/>
      </c>
      <c r="G172" s="77"/>
      <c r="H172" s="104">
        <f t="shared" si="27"/>
        <v>0</v>
      </c>
      <c r="I172" s="104">
        <f t="shared" si="28"/>
        <v>0</v>
      </c>
      <c r="J172" s="77"/>
      <c r="K172" s="77"/>
      <c r="L172" s="104">
        <f t="shared" si="29"/>
        <v>0</v>
      </c>
      <c r="M172" s="77"/>
    </row>
    <row r="173" spans="1:13" ht="15" customHeight="1" x14ac:dyDescent="0.25">
      <c r="A173" s="77"/>
      <c r="B173" s="77"/>
      <c r="C173" s="97" t="str">
        <f t="shared" si="30"/>
        <v/>
      </c>
      <c r="D173" s="77"/>
      <c r="E173" s="77"/>
      <c r="F173" s="98" t="str">
        <f t="shared" si="26"/>
        <v/>
      </c>
      <c r="G173" s="77"/>
      <c r="H173" s="104">
        <f t="shared" si="27"/>
        <v>0</v>
      </c>
      <c r="I173" s="104">
        <f t="shared" si="28"/>
        <v>0</v>
      </c>
      <c r="J173" s="77"/>
      <c r="K173" s="77"/>
      <c r="L173" s="104">
        <f t="shared" si="29"/>
        <v>0</v>
      </c>
      <c r="M173" s="77"/>
    </row>
    <row r="174" spans="1:13" ht="15" customHeight="1" x14ac:dyDescent="0.25">
      <c r="A174" s="77"/>
      <c r="B174" s="77"/>
      <c r="C174" s="97" t="str">
        <f t="shared" si="30"/>
        <v/>
      </c>
      <c r="D174" s="77"/>
      <c r="E174" s="77"/>
      <c r="F174" s="98" t="str">
        <f t="shared" si="26"/>
        <v/>
      </c>
      <c r="G174" s="77"/>
      <c r="H174" s="104">
        <f t="shared" si="27"/>
        <v>0</v>
      </c>
      <c r="I174" s="104">
        <f t="shared" si="28"/>
        <v>0</v>
      </c>
      <c r="J174" s="77"/>
      <c r="K174" s="77"/>
      <c r="L174" s="104">
        <f t="shared" si="29"/>
        <v>0</v>
      </c>
      <c r="M174" s="77"/>
    </row>
    <row r="175" spans="1:13" ht="15" customHeight="1" x14ac:dyDescent="0.25">
      <c r="A175" s="77"/>
      <c r="B175" s="77"/>
      <c r="C175" s="97" t="str">
        <f t="shared" si="30"/>
        <v/>
      </c>
      <c r="D175" s="77"/>
      <c r="E175" s="77"/>
      <c r="F175" s="98" t="str">
        <f t="shared" si="26"/>
        <v/>
      </c>
      <c r="G175" s="77"/>
      <c r="H175" s="104">
        <f t="shared" si="27"/>
        <v>0</v>
      </c>
      <c r="I175" s="104">
        <f t="shared" si="28"/>
        <v>0</v>
      </c>
      <c r="J175" s="77"/>
      <c r="K175" s="77"/>
      <c r="L175" s="104">
        <f t="shared" si="29"/>
        <v>0</v>
      </c>
      <c r="M175" s="77"/>
    </row>
    <row r="176" spans="1:13" ht="15" customHeight="1" x14ac:dyDescent="0.25">
      <c r="A176" s="77"/>
      <c r="B176" s="77"/>
      <c r="C176" s="97" t="str">
        <f t="shared" si="30"/>
        <v/>
      </c>
      <c r="D176" s="77"/>
      <c r="E176" s="77"/>
      <c r="F176" s="98" t="str">
        <f t="shared" si="26"/>
        <v/>
      </c>
      <c r="G176" s="77"/>
      <c r="H176" s="104">
        <f t="shared" si="27"/>
        <v>0</v>
      </c>
      <c r="I176" s="104">
        <f t="shared" si="28"/>
        <v>0</v>
      </c>
      <c r="J176" s="77"/>
      <c r="K176" s="77"/>
      <c r="L176" s="104">
        <f t="shared" si="29"/>
        <v>0</v>
      </c>
      <c r="M176" s="77"/>
    </row>
    <row r="177" spans="1:13" ht="15" customHeight="1" x14ac:dyDescent="0.25">
      <c r="A177" s="77"/>
      <c r="B177" s="77"/>
      <c r="C177" s="97" t="str">
        <f t="shared" si="30"/>
        <v/>
      </c>
      <c r="D177" s="77"/>
      <c r="E177" s="77"/>
      <c r="F177" s="98" t="str">
        <f t="shared" si="26"/>
        <v/>
      </c>
      <c r="G177" s="77"/>
      <c r="H177" s="104">
        <f t="shared" si="27"/>
        <v>0</v>
      </c>
      <c r="I177" s="104">
        <f t="shared" si="28"/>
        <v>0</v>
      </c>
      <c r="J177" s="77"/>
      <c r="K177" s="77"/>
      <c r="L177" s="104">
        <f t="shared" si="29"/>
        <v>0</v>
      </c>
      <c r="M177" s="77"/>
    </row>
    <row r="178" spans="1:13" ht="15" customHeight="1" x14ac:dyDescent="0.25">
      <c r="A178" s="77"/>
      <c r="B178" s="77"/>
      <c r="C178" s="97" t="str">
        <f t="shared" si="30"/>
        <v/>
      </c>
      <c r="D178" s="77"/>
      <c r="E178" s="77"/>
      <c r="F178" s="98" t="str">
        <f t="shared" ref="F178:F202" si="31">IF(E178="","",E178+Balance_Due_Days)</f>
        <v/>
      </c>
      <c r="G178" s="77"/>
      <c r="H178" s="104">
        <f t="shared" ref="H178:H202" si="32">IFERROR(G178*VAT_Rate,0)</f>
        <v>0</v>
      </c>
      <c r="I178" s="104">
        <f t="shared" ref="I178:I202" si="33">IFERROR(G178+H178,0)</f>
        <v>0</v>
      </c>
      <c r="J178" s="77"/>
      <c r="K178" s="77"/>
      <c r="L178" s="104">
        <f t="shared" ref="L178:L202" si="34">IFERROR(I178-K178,0)</f>
        <v>0</v>
      </c>
      <c r="M178" s="77"/>
    </row>
    <row r="179" spans="1:13" ht="15" customHeight="1" x14ac:dyDescent="0.25">
      <c r="A179" s="77"/>
      <c r="B179" s="77"/>
      <c r="C179" s="97" t="str">
        <f t="shared" si="30"/>
        <v/>
      </c>
      <c r="D179" s="77"/>
      <c r="E179" s="77"/>
      <c r="F179" s="98" t="str">
        <f t="shared" si="31"/>
        <v/>
      </c>
      <c r="G179" s="77"/>
      <c r="H179" s="104">
        <f t="shared" si="32"/>
        <v>0</v>
      </c>
      <c r="I179" s="104">
        <f t="shared" si="33"/>
        <v>0</v>
      </c>
      <c r="J179" s="77"/>
      <c r="K179" s="77"/>
      <c r="L179" s="104">
        <f t="shared" si="34"/>
        <v>0</v>
      </c>
      <c r="M179" s="77"/>
    </row>
    <row r="180" spans="1:13" ht="15" customHeight="1" x14ac:dyDescent="0.25">
      <c r="A180" s="77"/>
      <c r="B180" s="77"/>
      <c r="C180" s="97" t="str">
        <f t="shared" si="30"/>
        <v/>
      </c>
      <c r="D180" s="77"/>
      <c r="E180" s="77"/>
      <c r="F180" s="98" t="str">
        <f t="shared" si="31"/>
        <v/>
      </c>
      <c r="G180" s="77"/>
      <c r="H180" s="104">
        <f t="shared" si="32"/>
        <v>0</v>
      </c>
      <c r="I180" s="104">
        <f t="shared" si="33"/>
        <v>0</v>
      </c>
      <c r="J180" s="77"/>
      <c r="K180" s="77"/>
      <c r="L180" s="104">
        <f t="shared" si="34"/>
        <v>0</v>
      </c>
      <c r="M180" s="77"/>
    </row>
    <row r="181" spans="1:13" ht="15" customHeight="1" x14ac:dyDescent="0.25">
      <c r="A181" s="77"/>
      <c r="B181" s="77"/>
      <c r="C181" s="97" t="str">
        <f t="shared" si="30"/>
        <v/>
      </c>
      <c r="D181" s="77"/>
      <c r="E181" s="77"/>
      <c r="F181" s="98" t="str">
        <f t="shared" si="31"/>
        <v/>
      </c>
      <c r="G181" s="77"/>
      <c r="H181" s="104">
        <f t="shared" si="32"/>
        <v>0</v>
      </c>
      <c r="I181" s="104">
        <f t="shared" si="33"/>
        <v>0</v>
      </c>
      <c r="J181" s="77"/>
      <c r="K181" s="77"/>
      <c r="L181" s="104">
        <f t="shared" si="34"/>
        <v>0</v>
      </c>
      <c r="M181" s="77"/>
    </row>
    <row r="182" spans="1:13" ht="15" customHeight="1" x14ac:dyDescent="0.25">
      <c r="A182" s="77"/>
      <c r="B182" s="77"/>
      <c r="C182" s="97" t="str">
        <f t="shared" si="30"/>
        <v/>
      </c>
      <c r="D182" s="77"/>
      <c r="E182" s="77"/>
      <c r="F182" s="98" t="str">
        <f t="shared" si="31"/>
        <v/>
      </c>
      <c r="G182" s="77"/>
      <c r="H182" s="104">
        <f t="shared" si="32"/>
        <v>0</v>
      </c>
      <c r="I182" s="104">
        <f t="shared" si="33"/>
        <v>0</v>
      </c>
      <c r="J182" s="77"/>
      <c r="K182" s="77"/>
      <c r="L182" s="104">
        <f t="shared" si="34"/>
        <v>0</v>
      </c>
      <c r="M182" s="77"/>
    </row>
    <row r="183" spans="1:13" ht="15" customHeight="1" x14ac:dyDescent="0.25">
      <c r="A183" s="77"/>
      <c r="B183" s="77"/>
      <c r="C183" s="97" t="str">
        <f t="shared" si="30"/>
        <v/>
      </c>
      <c r="D183" s="77"/>
      <c r="E183" s="77"/>
      <c r="F183" s="98" t="str">
        <f t="shared" si="31"/>
        <v/>
      </c>
      <c r="G183" s="77"/>
      <c r="H183" s="104">
        <f t="shared" si="32"/>
        <v>0</v>
      </c>
      <c r="I183" s="104">
        <f t="shared" si="33"/>
        <v>0</v>
      </c>
      <c r="J183" s="77"/>
      <c r="K183" s="77"/>
      <c r="L183" s="104">
        <f t="shared" si="34"/>
        <v>0</v>
      </c>
      <c r="M183" s="77"/>
    </row>
    <row r="184" spans="1:13" ht="15" customHeight="1" x14ac:dyDescent="0.25">
      <c r="A184" s="77"/>
      <c r="B184" s="77"/>
      <c r="C184" s="97" t="str">
        <f t="shared" si="30"/>
        <v/>
      </c>
      <c r="D184" s="77"/>
      <c r="E184" s="77"/>
      <c r="F184" s="98" t="str">
        <f t="shared" si="31"/>
        <v/>
      </c>
      <c r="G184" s="77"/>
      <c r="H184" s="104">
        <f t="shared" si="32"/>
        <v>0</v>
      </c>
      <c r="I184" s="104">
        <f t="shared" si="33"/>
        <v>0</v>
      </c>
      <c r="J184" s="77"/>
      <c r="K184" s="77"/>
      <c r="L184" s="104">
        <f t="shared" si="34"/>
        <v>0</v>
      </c>
      <c r="M184" s="77"/>
    </row>
    <row r="185" spans="1:13" ht="15" customHeight="1" x14ac:dyDescent="0.25">
      <c r="A185" s="77"/>
      <c r="B185" s="77"/>
      <c r="C185" s="97" t="str">
        <f t="shared" si="30"/>
        <v/>
      </c>
      <c r="D185" s="77"/>
      <c r="E185" s="77"/>
      <c r="F185" s="98" t="str">
        <f t="shared" si="31"/>
        <v/>
      </c>
      <c r="G185" s="77"/>
      <c r="H185" s="104">
        <f t="shared" si="32"/>
        <v>0</v>
      </c>
      <c r="I185" s="104">
        <f t="shared" si="33"/>
        <v>0</v>
      </c>
      <c r="J185" s="77"/>
      <c r="K185" s="77"/>
      <c r="L185" s="104">
        <f t="shared" si="34"/>
        <v>0</v>
      </c>
      <c r="M185" s="77"/>
    </row>
    <row r="186" spans="1:13" ht="15" customHeight="1" x14ac:dyDescent="0.25">
      <c r="A186" s="77"/>
      <c r="B186" s="77"/>
      <c r="C186" s="97" t="str">
        <f t="shared" si="30"/>
        <v/>
      </c>
      <c r="D186" s="77"/>
      <c r="E186" s="77"/>
      <c r="F186" s="98" t="str">
        <f t="shared" si="31"/>
        <v/>
      </c>
      <c r="G186" s="77"/>
      <c r="H186" s="104">
        <f t="shared" si="32"/>
        <v>0</v>
      </c>
      <c r="I186" s="104">
        <f t="shared" si="33"/>
        <v>0</v>
      </c>
      <c r="J186" s="77"/>
      <c r="K186" s="77"/>
      <c r="L186" s="104">
        <f t="shared" si="34"/>
        <v>0</v>
      </c>
      <c r="M186" s="77"/>
    </row>
    <row r="187" spans="1:13" ht="15" customHeight="1" x14ac:dyDescent="0.25">
      <c r="A187" s="77"/>
      <c r="B187" s="77"/>
      <c r="C187" s="97" t="str">
        <f t="shared" si="30"/>
        <v/>
      </c>
      <c r="D187" s="77"/>
      <c r="E187" s="77"/>
      <c r="F187" s="98" t="str">
        <f t="shared" si="31"/>
        <v/>
      </c>
      <c r="G187" s="77"/>
      <c r="H187" s="104">
        <f t="shared" si="32"/>
        <v>0</v>
      </c>
      <c r="I187" s="104">
        <f t="shared" si="33"/>
        <v>0</v>
      </c>
      <c r="J187" s="77"/>
      <c r="K187" s="77"/>
      <c r="L187" s="104">
        <f t="shared" si="34"/>
        <v>0</v>
      </c>
      <c r="M187" s="77"/>
    </row>
    <row r="188" spans="1:13" ht="15" customHeight="1" x14ac:dyDescent="0.25">
      <c r="A188" s="77"/>
      <c r="B188" s="77"/>
      <c r="C188" s="97" t="str">
        <f t="shared" si="30"/>
        <v/>
      </c>
      <c r="D188" s="77"/>
      <c r="E188" s="77"/>
      <c r="F188" s="98" t="str">
        <f t="shared" si="31"/>
        <v/>
      </c>
      <c r="G188" s="77"/>
      <c r="H188" s="104">
        <f t="shared" si="32"/>
        <v>0</v>
      </c>
      <c r="I188" s="104">
        <f t="shared" si="33"/>
        <v>0</v>
      </c>
      <c r="J188" s="77"/>
      <c r="K188" s="77"/>
      <c r="L188" s="104">
        <f t="shared" si="34"/>
        <v>0</v>
      </c>
      <c r="M188" s="77"/>
    </row>
    <row r="189" spans="1:13" ht="15" customHeight="1" x14ac:dyDescent="0.25">
      <c r="A189" s="77"/>
      <c r="B189" s="77"/>
      <c r="C189" s="97" t="str">
        <f t="shared" si="30"/>
        <v/>
      </c>
      <c r="D189" s="77"/>
      <c r="E189" s="77"/>
      <c r="F189" s="98" t="str">
        <f t="shared" si="31"/>
        <v/>
      </c>
      <c r="G189" s="77"/>
      <c r="H189" s="104">
        <f t="shared" si="32"/>
        <v>0</v>
      </c>
      <c r="I189" s="104">
        <f t="shared" si="33"/>
        <v>0</v>
      </c>
      <c r="J189" s="77"/>
      <c r="K189" s="77"/>
      <c r="L189" s="104">
        <f t="shared" si="34"/>
        <v>0</v>
      </c>
      <c r="M189" s="77"/>
    </row>
    <row r="190" spans="1:13" ht="15" customHeight="1" x14ac:dyDescent="0.25">
      <c r="A190" s="77"/>
      <c r="B190" s="77"/>
      <c r="C190" s="97" t="str">
        <f t="shared" si="30"/>
        <v/>
      </c>
      <c r="D190" s="77"/>
      <c r="E190" s="77"/>
      <c r="F190" s="98" t="str">
        <f t="shared" si="31"/>
        <v/>
      </c>
      <c r="G190" s="77"/>
      <c r="H190" s="104">
        <f t="shared" si="32"/>
        <v>0</v>
      </c>
      <c r="I190" s="104">
        <f t="shared" si="33"/>
        <v>0</v>
      </c>
      <c r="J190" s="77"/>
      <c r="K190" s="77"/>
      <c r="L190" s="104">
        <f t="shared" si="34"/>
        <v>0</v>
      </c>
      <c r="M190" s="77"/>
    </row>
    <row r="191" spans="1:13" ht="15" customHeight="1" x14ac:dyDescent="0.25">
      <c r="A191" s="77"/>
      <c r="B191" s="77"/>
      <c r="C191" s="97" t="str">
        <f t="shared" si="30"/>
        <v/>
      </c>
      <c r="D191" s="77"/>
      <c r="E191" s="77"/>
      <c r="F191" s="98" t="str">
        <f t="shared" si="31"/>
        <v/>
      </c>
      <c r="G191" s="77"/>
      <c r="H191" s="104">
        <f t="shared" si="32"/>
        <v>0</v>
      </c>
      <c r="I191" s="104">
        <f t="shared" si="33"/>
        <v>0</v>
      </c>
      <c r="J191" s="77"/>
      <c r="K191" s="77"/>
      <c r="L191" s="104">
        <f t="shared" si="34"/>
        <v>0</v>
      </c>
      <c r="M191" s="77"/>
    </row>
    <row r="192" spans="1:13" ht="15" customHeight="1" x14ac:dyDescent="0.25">
      <c r="A192" s="77"/>
      <c r="B192" s="77"/>
      <c r="C192" s="97" t="str">
        <f t="shared" si="30"/>
        <v/>
      </c>
      <c r="D192" s="77"/>
      <c r="E192" s="77"/>
      <c r="F192" s="98" t="str">
        <f t="shared" si="31"/>
        <v/>
      </c>
      <c r="G192" s="77"/>
      <c r="H192" s="104">
        <f t="shared" si="32"/>
        <v>0</v>
      </c>
      <c r="I192" s="104">
        <f t="shared" si="33"/>
        <v>0</v>
      </c>
      <c r="J192" s="77"/>
      <c r="K192" s="77"/>
      <c r="L192" s="104">
        <f t="shared" si="34"/>
        <v>0</v>
      </c>
      <c r="M192" s="77"/>
    </row>
    <row r="193" spans="1:13" ht="15" customHeight="1" x14ac:dyDescent="0.25">
      <c r="A193" s="77"/>
      <c r="B193" s="77"/>
      <c r="C193" s="97" t="str">
        <f t="shared" si="30"/>
        <v/>
      </c>
      <c r="D193" s="77"/>
      <c r="E193" s="77"/>
      <c r="F193" s="98" t="str">
        <f t="shared" si="31"/>
        <v/>
      </c>
      <c r="G193" s="77"/>
      <c r="H193" s="104">
        <f t="shared" si="32"/>
        <v>0</v>
      </c>
      <c r="I193" s="104">
        <f t="shared" si="33"/>
        <v>0</v>
      </c>
      <c r="J193" s="77"/>
      <c r="K193" s="77"/>
      <c r="L193" s="104">
        <f t="shared" si="34"/>
        <v>0</v>
      </c>
      <c r="M193" s="77"/>
    </row>
    <row r="194" spans="1:13" ht="15" customHeight="1" x14ac:dyDescent="0.25">
      <c r="A194" s="77"/>
      <c r="B194" s="77"/>
      <c r="C194" s="97" t="str">
        <f t="shared" si="30"/>
        <v/>
      </c>
      <c r="D194" s="77"/>
      <c r="E194" s="77"/>
      <c r="F194" s="98" t="str">
        <f t="shared" si="31"/>
        <v/>
      </c>
      <c r="G194" s="77"/>
      <c r="H194" s="104">
        <f t="shared" si="32"/>
        <v>0</v>
      </c>
      <c r="I194" s="104">
        <f t="shared" si="33"/>
        <v>0</v>
      </c>
      <c r="J194" s="77"/>
      <c r="K194" s="77"/>
      <c r="L194" s="104">
        <f t="shared" si="34"/>
        <v>0</v>
      </c>
      <c r="M194" s="77"/>
    </row>
    <row r="195" spans="1:13" ht="15" customHeight="1" x14ac:dyDescent="0.25">
      <c r="A195" s="77"/>
      <c r="B195" s="77"/>
      <c r="C195" s="97" t="str">
        <f t="shared" ref="C195:C202" si="35">IFERROR(VLOOKUP(B195,Projects_Table,2,FALSE()),"")</f>
        <v/>
      </c>
      <c r="D195" s="77"/>
      <c r="E195" s="77"/>
      <c r="F195" s="98" t="str">
        <f t="shared" si="31"/>
        <v/>
      </c>
      <c r="G195" s="77"/>
      <c r="H195" s="104">
        <f t="shared" si="32"/>
        <v>0</v>
      </c>
      <c r="I195" s="104">
        <f t="shared" si="33"/>
        <v>0</v>
      </c>
      <c r="J195" s="77"/>
      <c r="K195" s="77"/>
      <c r="L195" s="104">
        <f t="shared" si="34"/>
        <v>0</v>
      </c>
      <c r="M195" s="77"/>
    </row>
    <row r="196" spans="1:13" ht="15" customHeight="1" x14ac:dyDescent="0.25">
      <c r="A196" s="77"/>
      <c r="B196" s="77"/>
      <c r="C196" s="97" t="str">
        <f t="shared" si="35"/>
        <v/>
      </c>
      <c r="D196" s="77"/>
      <c r="E196" s="77"/>
      <c r="F196" s="98" t="str">
        <f t="shared" si="31"/>
        <v/>
      </c>
      <c r="G196" s="77"/>
      <c r="H196" s="104">
        <f t="shared" si="32"/>
        <v>0</v>
      </c>
      <c r="I196" s="104">
        <f t="shared" si="33"/>
        <v>0</v>
      </c>
      <c r="J196" s="77"/>
      <c r="K196" s="77"/>
      <c r="L196" s="104">
        <f t="shared" si="34"/>
        <v>0</v>
      </c>
      <c r="M196" s="77"/>
    </row>
    <row r="197" spans="1:13" ht="15" customHeight="1" x14ac:dyDescent="0.25">
      <c r="A197" s="77"/>
      <c r="B197" s="77"/>
      <c r="C197" s="97" t="str">
        <f t="shared" si="35"/>
        <v/>
      </c>
      <c r="D197" s="77"/>
      <c r="E197" s="77"/>
      <c r="F197" s="98" t="str">
        <f t="shared" si="31"/>
        <v/>
      </c>
      <c r="G197" s="77"/>
      <c r="H197" s="104">
        <f t="shared" si="32"/>
        <v>0</v>
      </c>
      <c r="I197" s="104">
        <f t="shared" si="33"/>
        <v>0</v>
      </c>
      <c r="J197" s="77"/>
      <c r="K197" s="77"/>
      <c r="L197" s="104">
        <f t="shared" si="34"/>
        <v>0</v>
      </c>
      <c r="M197" s="77"/>
    </row>
    <row r="198" spans="1:13" ht="15" customHeight="1" x14ac:dyDescent="0.25">
      <c r="A198" s="77"/>
      <c r="B198" s="77"/>
      <c r="C198" s="97" t="str">
        <f t="shared" si="35"/>
        <v/>
      </c>
      <c r="D198" s="77"/>
      <c r="E198" s="77"/>
      <c r="F198" s="98" t="str">
        <f t="shared" si="31"/>
        <v/>
      </c>
      <c r="G198" s="77"/>
      <c r="H198" s="104">
        <f t="shared" si="32"/>
        <v>0</v>
      </c>
      <c r="I198" s="104">
        <f t="shared" si="33"/>
        <v>0</v>
      </c>
      <c r="J198" s="77"/>
      <c r="K198" s="77"/>
      <c r="L198" s="104">
        <f t="shared" si="34"/>
        <v>0</v>
      </c>
      <c r="M198" s="77"/>
    </row>
    <row r="199" spans="1:13" ht="15" customHeight="1" x14ac:dyDescent="0.25">
      <c r="A199" s="77"/>
      <c r="B199" s="77"/>
      <c r="C199" s="97" t="str">
        <f t="shared" si="35"/>
        <v/>
      </c>
      <c r="D199" s="77"/>
      <c r="E199" s="77"/>
      <c r="F199" s="98" t="str">
        <f t="shared" si="31"/>
        <v/>
      </c>
      <c r="G199" s="77"/>
      <c r="H199" s="104">
        <f t="shared" si="32"/>
        <v>0</v>
      </c>
      <c r="I199" s="104">
        <f t="shared" si="33"/>
        <v>0</v>
      </c>
      <c r="J199" s="77"/>
      <c r="K199" s="77"/>
      <c r="L199" s="104">
        <f t="shared" si="34"/>
        <v>0</v>
      </c>
      <c r="M199" s="77"/>
    </row>
    <row r="200" spans="1:13" ht="15" customHeight="1" x14ac:dyDescent="0.25">
      <c r="A200" s="77"/>
      <c r="B200" s="77"/>
      <c r="C200" s="97" t="str">
        <f t="shared" si="35"/>
        <v/>
      </c>
      <c r="D200" s="77"/>
      <c r="E200" s="77"/>
      <c r="F200" s="98" t="str">
        <f t="shared" si="31"/>
        <v/>
      </c>
      <c r="G200" s="77"/>
      <c r="H200" s="104">
        <f t="shared" si="32"/>
        <v>0</v>
      </c>
      <c r="I200" s="104">
        <f t="shared" si="33"/>
        <v>0</v>
      </c>
      <c r="J200" s="77"/>
      <c r="K200" s="77"/>
      <c r="L200" s="104">
        <f t="shared" si="34"/>
        <v>0</v>
      </c>
      <c r="M200" s="77"/>
    </row>
    <row r="201" spans="1:13" ht="15" customHeight="1" x14ac:dyDescent="0.25">
      <c r="A201" s="77"/>
      <c r="B201" s="77"/>
      <c r="C201" s="97" t="str">
        <f t="shared" si="35"/>
        <v/>
      </c>
      <c r="D201" s="77"/>
      <c r="E201" s="77"/>
      <c r="F201" s="98" t="str">
        <f t="shared" si="31"/>
        <v/>
      </c>
      <c r="G201" s="77"/>
      <c r="H201" s="104">
        <f t="shared" si="32"/>
        <v>0</v>
      </c>
      <c r="I201" s="104">
        <f t="shared" si="33"/>
        <v>0</v>
      </c>
      <c r="J201" s="77"/>
      <c r="K201" s="77"/>
      <c r="L201" s="104">
        <f t="shared" si="34"/>
        <v>0</v>
      </c>
      <c r="M201" s="77"/>
    </row>
    <row r="202" spans="1:13" ht="15" customHeight="1" x14ac:dyDescent="0.25">
      <c r="A202" s="77"/>
      <c r="B202" s="77"/>
      <c r="C202" s="97" t="str">
        <f t="shared" si="35"/>
        <v/>
      </c>
      <c r="D202" s="77"/>
      <c r="E202" s="77"/>
      <c r="F202" s="98" t="str">
        <f t="shared" si="31"/>
        <v/>
      </c>
      <c r="G202" s="77"/>
      <c r="H202" s="104">
        <f t="shared" si="32"/>
        <v>0</v>
      </c>
      <c r="I202" s="104">
        <f t="shared" si="33"/>
        <v>0</v>
      </c>
      <c r="J202" s="77"/>
      <c r="K202" s="77"/>
      <c r="L202" s="104">
        <f t="shared" si="34"/>
        <v>0</v>
      </c>
      <c r="M202" s="77"/>
    </row>
    <row r="203" spans="1:13" x14ac:dyDescent="0.25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</row>
    <row r="204" spans="1:13" ht="15" customHeight="1" x14ac:dyDescent="0.25">
      <c r="A204" s="145" t="s">
        <v>794</v>
      </c>
      <c r="B204" s="61"/>
      <c r="C204" s="61"/>
      <c r="D204" s="61"/>
      <c r="E204" s="61"/>
      <c r="F204" s="61"/>
      <c r="G204" s="119">
        <f>SUM(G3:G202)</f>
        <v>62030</v>
      </c>
      <c r="H204" s="119">
        <f>SUM(H3:H202)</f>
        <v>11785.699999999999</v>
      </c>
      <c r="I204" s="119">
        <f>SUM(I3:I202)</f>
        <v>73815.700000000012</v>
      </c>
      <c r="J204" s="61"/>
      <c r="K204" s="119">
        <f>SUM(K3:K202)</f>
        <v>35557.199999999997</v>
      </c>
      <c r="L204" s="119">
        <f>SUM(L3:L202)</f>
        <v>38258.5</v>
      </c>
      <c r="M204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M1"/>
  </mergeCells>
  <conditionalFormatting sqref="F3:F202">
    <cfRule type="expression" dxfId="36" priority="4">
      <formula>AND(ISNUMBER($F3),$F3&lt;TODAY(),$M3&lt;&gt;"Paid",$M3&lt;&gt;"Void",$M3&lt;&gt;"Draft")</formula>
    </cfRule>
  </conditionalFormatting>
  <conditionalFormatting sqref="M3:M202">
    <cfRule type="expression" dxfId="35" priority="2">
      <formula>$M3="Paid"</formula>
    </cfRule>
    <cfRule type="expression" dxfId="34" priority="3">
      <formula>$M3="Overdue"</formula>
    </cfRule>
  </conditionalFormatting>
  <dataValidations count="2">
    <dataValidation type="list" allowBlank="1" sqref="D3:D202" xr:uid="{00000000-0002-0000-1500-000000000000}">
      <formula1>"Deposit,Progress,Final,Credit Note"</formula1>
      <formula2>0</formula2>
    </dataValidation>
    <dataValidation type="list" allowBlank="1" sqref="M3:M202" xr:uid="{00000000-0002-0000-1500-000001000000}">
      <formula1>"Draft,Sent,Paid,Partial,Overdue,Void"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BF8F00"/>
  </sheetPr>
  <dimension ref="A1:M202"/>
  <sheetViews>
    <sheetView zoomScaleNormal="100" workbookViewId="0">
      <pane ySplit="2" topLeftCell="A3" activePane="bottomLeft" state="frozen"/>
      <selection pane="bottomLeft" sqref="A1:M1"/>
    </sheetView>
  </sheetViews>
  <sheetFormatPr defaultColWidth="8.7109375" defaultRowHeight="15" x14ac:dyDescent="0.25"/>
  <cols>
    <col min="1" max="1" width="14" customWidth="1"/>
    <col min="2" max="2" width="12" customWidth="1"/>
    <col min="3" max="3" width="18" customWidth="1"/>
    <col min="4" max="4" width="12" customWidth="1"/>
    <col min="5" max="5" width="18" customWidth="1"/>
    <col min="6" max="6" width="28" customWidth="1"/>
    <col min="7" max="8" width="10" customWidth="1"/>
    <col min="9" max="10" width="14" customWidth="1"/>
    <col min="11" max="11" width="12" customWidth="1"/>
    <col min="12" max="13" width="14" customWidth="1"/>
  </cols>
  <sheetData>
    <row r="1" spans="1:13" ht="30" customHeight="1" x14ac:dyDescent="0.25">
      <c r="A1" s="71" t="s">
        <v>1054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7.75" customHeight="1" x14ac:dyDescent="0.25">
      <c r="A2" s="63" t="s">
        <v>1055</v>
      </c>
      <c r="B2" s="63" t="s">
        <v>18</v>
      </c>
      <c r="C2" s="63" t="s">
        <v>1056</v>
      </c>
      <c r="D2" s="63" t="s">
        <v>20</v>
      </c>
      <c r="E2" s="63" t="s">
        <v>1057</v>
      </c>
      <c r="F2" s="63" t="s">
        <v>801</v>
      </c>
      <c r="G2" s="63" t="s">
        <v>490</v>
      </c>
      <c r="H2" s="63" t="s">
        <v>491</v>
      </c>
      <c r="I2" s="63" t="s">
        <v>492</v>
      </c>
      <c r="J2" s="63" t="s">
        <v>493</v>
      </c>
      <c r="K2" s="63" t="s">
        <v>1031</v>
      </c>
      <c r="L2" s="63" t="s">
        <v>522</v>
      </c>
      <c r="M2" s="63" t="s">
        <v>23</v>
      </c>
    </row>
    <row r="3" spans="1:13" ht="26.25" customHeight="1" x14ac:dyDescent="0.25">
      <c r="A3" s="92" t="s">
        <v>1058</v>
      </c>
      <c r="B3" s="94">
        <v>46091</v>
      </c>
      <c r="C3" s="93" t="s">
        <v>1059</v>
      </c>
      <c r="D3" s="93" t="s">
        <v>312</v>
      </c>
      <c r="E3" s="93" t="s">
        <v>566</v>
      </c>
      <c r="F3" s="148" t="str">
        <f t="shared" ref="F3:F34" si="0">IFERROR(VLOOKUP(E3,Materials_Table,2,FALSE()),IFERROR(VLOOKUP(E3,Hardware_Table,2,FALSE()),""))</f>
        <v>Melamine 18mm White</v>
      </c>
      <c r="G3" s="78">
        <v>40</v>
      </c>
      <c r="H3" s="97" t="str">
        <f t="shared" ref="H3:H34" si="1">IFERROR(VLOOKUP(E3,Materials_Table,5,FALSE()),IFERROR(VLOOKUP(E3,Hardware_Table,5,FALSE()),""))</f>
        <v>m²</v>
      </c>
      <c r="I3" s="95">
        <f t="shared" ref="I3:I34" si="2">IFERROR(VLOOKUP(E3,Materials_Table,6,FALSE()),IFERROR(VLOOKUP(E3,Hardware_Table,6,FALSE()),0))</f>
        <v>12.5</v>
      </c>
      <c r="J3" s="104">
        <f t="shared" ref="J3:J34" si="3">G3*I3</f>
        <v>500</v>
      </c>
      <c r="K3" s="104">
        <f t="shared" ref="K3:K34" si="4">J3*VAT_Rate</f>
        <v>95</v>
      </c>
      <c r="L3" s="104">
        <f t="shared" ref="L3:L34" si="5">J3+K3</f>
        <v>595</v>
      </c>
      <c r="M3" s="93" t="s">
        <v>1038</v>
      </c>
    </row>
    <row r="4" spans="1:13" ht="26.25" customHeight="1" x14ac:dyDescent="0.25">
      <c r="A4" s="92" t="s">
        <v>1060</v>
      </c>
      <c r="B4" s="94">
        <v>46091</v>
      </c>
      <c r="C4" s="93" t="s">
        <v>1061</v>
      </c>
      <c r="D4" s="93" t="s">
        <v>312</v>
      </c>
      <c r="E4" s="93" t="s">
        <v>1062</v>
      </c>
      <c r="F4" s="148" t="str">
        <f t="shared" si="0"/>
        <v>MDF 18mm Standard</v>
      </c>
      <c r="G4" s="78">
        <v>20</v>
      </c>
      <c r="H4" s="97" t="str">
        <f t="shared" si="1"/>
        <v>m²</v>
      </c>
      <c r="I4" s="95">
        <f t="shared" si="2"/>
        <v>10.9</v>
      </c>
      <c r="J4" s="104">
        <f t="shared" si="3"/>
        <v>218</v>
      </c>
      <c r="K4" s="104">
        <f t="shared" si="4"/>
        <v>41.42</v>
      </c>
      <c r="L4" s="104">
        <f t="shared" si="5"/>
        <v>259.42</v>
      </c>
      <c r="M4" s="93" t="s">
        <v>1063</v>
      </c>
    </row>
    <row r="5" spans="1:13" ht="26.25" customHeight="1" x14ac:dyDescent="0.25">
      <c r="A5" s="92" t="s">
        <v>1064</v>
      </c>
      <c r="B5" s="94">
        <v>46096</v>
      </c>
      <c r="C5" s="93" t="s">
        <v>1065</v>
      </c>
      <c r="D5" s="93" t="s">
        <v>312</v>
      </c>
      <c r="E5" s="93" t="s">
        <v>1066</v>
      </c>
      <c r="F5" s="148" t="str">
        <f t="shared" si="0"/>
        <v>Blum Soft-Close Hinge 110°</v>
      </c>
      <c r="G5" s="78">
        <v>30</v>
      </c>
      <c r="H5" s="97" t="str">
        <f t="shared" si="1"/>
        <v>pcs</v>
      </c>
      <c r="I5" s="95">
        <f t="shared" si="2"/>
        <v>4.9000000000000004</v>
      </c>
      <c r="J5" s="104">
        <f t="shared" si="3"/>
        <v>147</v>
      </c>
      <c r="K5" s="104">
        <f t="shared" si="4"/>
        <v>27.93</v>
      </c>
      <c r="L5" s="104">
        <f t="shared" si="5"/>
        <v>174.93</v>
      </c>
      <c r="M5" s="93" t="s">
        <v>1063</v>
      </c>
    </row>
    <row r="6" spans="1:13" ht="26.25" customHeight="1" x14ac:dyDescent="0.25">
      <c r="A6" s="92" t="s">
        <v>1067</v>
      </c>
      <c r="B6" s="94">
        <v>46096</v>
      </c>
      <c r="C6" s="93" t="s">
        <v>1065</v>
      </c>
      <c r="D6" s="93" t="s">
        <v>312</v>
      </c>
      <c r="E6" s="93" t="s">
        <v>1068</v>
      </c>
      <c r="F6" s="148" t="str">
        <f t="shared" si="0"/>
        <v>Blum Tandembox 500mm</v>
      </c>
      <c r="G6" s="78">
        <v>6</v>
      </c>
      <c r="H6" s="97" t="str">
        <f t="shared" si="1"/>
        <v>set</v>
      </c>
      <c r="I6" s="95">
        <f t="shared" si="2"/>
        <v>44</v>
      </c>
      <c r="J6" s="104">
        <f t="shared" si="3"/>
        <v>264</v>
      </c>
      <c r="K6" s="104">
        <f t="shared" si="4"/>
        <v>50.160000000000004</v>
      </c>
      <c r="L6" s="104">
        <f t="shared" si="5"/>
        <v>314.16000000000003</v>
      </c>
      <c r="M6" s="93" t="s">
        <v>1063</v>
      </c>
    </row>
    <row r="7" spans="1:13" ht="26.25" customHeight="1" x14ac:dyDescent="0.25">
      <c r="A7" s="92" t="s">
        <v>1069</v>
      </c>
      <c r="B7" s="94">
        <v>46113</v>
      </c>
      <c r="C7" s="93" t="s">
        <v>1059</v>
      </c>
      <c r="D7" s="93" t="s">
        <v>316</v>
      </c>
      <c r="E7" s="93" t="s">
        <v>657</v>
      </c>
      <c r="F7" s="148" t="str">
        <f t="shared" si="0"/>
        <v>Melamine 18mm Oak</v>
      </c>
      <c r="G7" s="78">
        <v>30</v>
      </c>
      <c r="H7" s="97" t="str">
        <f t="shared" si="1"/>
        <v>m²</v>
      </c>
      <c r="I7" s="95">
        <f t="shared" si="2"/>
        <v>14.8</v>
      </c>
      <c r="J7" s="104">
        <f t="shared" si="3"/>
        <v>444</v>
      </c>
      <c r="K7" s="104">
        <f t="shared" si="4"/>
        <v>84.36</v>
      </c>
      <c r="L7" s="104">
        <f t="shared" si="5"/>
        <v>528.36</v>
      </c>
      <c r="M7" s="93" t="s">
        <v>1063</v>
      </c>
    </row>
    <row r="8" spans="1:13" ht="26.25" customHeight="1" x14ac:dyDescent="0.25">
      <c r="A8" s="92" t="s">
        <v>1070</v>
      </c>
      <c r="B8" s="94">
        <v>46117</v>
      </c>
      <c r="C8" s="93" t="s">
        <v>1071</v>
      </c>
      <c r="D8" s="93" t="s">
        <v>316</v>
      </c>
      <c r="E8" s="93" t="s">
        <v>1072</v>
      </c>
      <c r="F8" s="148" t="str">
        <f t="shared" si="0"/>
        <v>Wardrobe Rod Chrome</v>
      </c>
      <c r="G8" s="78">
        <v>8</v>
      </c>
      <c r="H8" s="97" t="str">
        <f t="shared" si="1"/>
        <v>m</v>
      </c>
      <c r="I8" s="95">
        <f t="shared" si="2"/>
        <v>6.5</v>
      </c>
      <c r="J8" s="104">
        <f t="shared" si="3"/>
        <v>52</v>
      </c>
      <c r="K8" s="104">
        <f t="shared" si="4"/>
        <v>9.8800000000000008</v>
      </c>
      <c r="L8" s="104">
        <f t="shared" si="5"/>
        <v>61.88</v>
      </c>
      <c r="M8" s="93" t="s">
        <v>1038</v>
      </c>
    </row>
    <row r="9" spans="1:13" ht="26.25" customHeight="1" x14ac:dyDescent="0.25">
      <c r="A9" s="92" t="s">
        <v>1073</v>
      </c>
      <c r="B9" s="94">
        <v>46122</v>
      </c>
      <c r="C9" s="93" t="s">
        <v>1074</v>
      </c>
      <c r="D9" s="93" t="s">
        <v>373</v>
      </c>
      <c r="E9" s="93" t="s">
        <v>1075</v>
      </c>
      <c r="F9" s="148" t="str">
        <f t="shared" si="0"/>
        <v>2K PU Lacquer White</v>
      </c>
      <c r="G9" s="78">
        <v>4</v>
      </c>
      <c r="H9" s="97" t="str">
        <f t="shared" si="1"/>
        <v>L</v>
      </c>
      <c r="I9" s="95">
        <f t="shared" si="2"/>
        <v>22</v>
      </c>
      <c r="J9" s="104">
        <f t="shared" si="3"/>
        <v>88</v>
      </c>
      <c r="K9" s="104">
        <f t="shared" si="4"/>
        <v>16.72</v>
      </c>
      <c r="L9" s="104">
        <f t="shared" si="5"/>
        <v>104.72</v>
      </c>
      <c r="M9" s="93" t="s">
        <v>1063</v>
      </c>
    </row>
    <row r="10" spans="1:13" ht="26.25" customHeight="1" x14ac:dyDescent="0.25">
      <c r="A10" s="92" t="s">
        <v>1076</v>
      </c>
      <c r="B10" s="94">
        <v>46127</v>
      </c>
      <c r="C10" s="93" t="s">
        <v>1077</v>
      </c>
      <c r="D10" s="93" t="s">
        <v>319</v>
      </c>
      <c r="E10" s="93" t="s">
        <v>1078</v>
      </c>
      <c r="F10" s="148" t="str">
        <f t="shared" si="0"/>
        <v>Solid Iroko Timber</v>
      </c>
      <c r="G10" s="78">
        <v>1</v>
      </c>
      <c r="H10" s="97" t="str">
        <f t="shared" si="1"/>
        <v>m³</v>
      </c>
      <c r="I10" s="95">
        <f t="shared" si="2"/>
        <v>1800</v>
      </c>
      <c r="J10" s="104">
        <f t="shared" si="3"/>
        <v>1800</v>
      </c>
      <c r="K10" s="104">
        <f t="shared" si="4"/>
        <v>342</v>
      </c>
      <c r="L10" s="104">
        <f t="shared" si="5"/>
        <v>2142</v>
      </c>
      <c r="M10" s="93" t="s">
        <v>1049</v>
      </c>
    </row>
    <row r="11" spans="1:13" ht="26.25" customHeight="1" x14ac:dyDescent="0.25">
      <c r="A11" s="92" t="s">
        <v>1079</v>
      </c>
      <c r="B11" s="94">
        <v>46130</v>
      </c>
      <c r="C11" s="93" t="s">
        <v>1059</v>
      </c>
      <c r="D11" s="93" t="s">
        <v>324</v>
      </c>
      <c r="E11" s="93" t="s">
        <v>566</v>
      </c>
      <c r="F11" s="148" t="str">
        <f t="shared" si="0"/>
        <v>Melamine 18mm White</v>
      </c>
      <c r="G11" s="78">
        <v>45</v>
      </c>
      <c r="H11" s="97" t="str">
        <f t="shared" si="1"/>
        <v>m²</v>
      </c>
      <c r="I11" s="95">
        <f t="shared" si="2"/>
        <v>12.5</v>
      </c>
      <c r="J11" s="104">
        <f t="shared" si="3"/>
        <v>562.5</v>
      </c>
      <c r="K11" s="104">
        <f t="shared" si="4"/>
        <v>106.875</v>
      </c>
      <c r="L11" s="104">
        <f t="shared" si="5"/>
        <v>669.375</v>
      </c>
      <c r="M11" s="93" t="s">
        <v>356</v>
      </c>
    </row>
    <row r="12" spans="1:13" ht="26.25" customHeight="1" x14ac:dyDescent="0.25">
      <c r="A12" s="92" t="s">
        <v>1080</v>
      </c>
      <c r="B12" s="94">
        <v>46132</v>
      </c>
      <c r="C12" s="93" t="s">
        <v>1071</v>
      </c>
      <c r="D12" s="93" t="s">
        <v>326</v>
      </c>
      <c r="E12" s="93" t="s">
        <v>1081</v>
      </c>
      <c r="F12" s="148" t="str">
        <f t="shared" si="0"/>
        <v>Handle 128mm SS</v>
      </c>
      <c r="G12" s="78">
        <v>30</v>
      </c>
      <c r="H12" s="97" t="str">
        <f t="shared" si="1"/>
        <v>pcs</v>
      </c>
      <c r="I12" s="95">
        <f t="shared" si="2"/>
        <v>3.2</v>
      </c>
      <c r="J12" s="104">
        <f t="shared" si="3"/>
        <v>96</v>
      </c>
      <c r="K12" s="104">
        <f t="shared" si="4"/>
        <v>18.240000000000002</v>
      </c>
      <c r="L12" s="104">
        <f t="shared" si="5"/>
        <v>114.24000000000001</v>
      </c>
      <c r="M12" s="93" t="s">
        <v>1049</v>
      </c>
    </row>
    <row r="13" spans="1:13" ht="15" customHeight="1" x14ac:dyDescent="0.25">
      <c r="A13" s="77"/>
      <c r="B13" s="77"/>
      <c r="C13" s="77"/>
      <c r="D13" s="77"/>
      <c r="E13" s="77"/>
      <c r="F13" s="148" t="str">
        <f t="shared" si="0"/>
        <v/>
      </c>
      <c r="G13" s="77"/>
      <c r="H13" s="97" t="str">
        <f t="shared" si="1"/>
        <v/>
      </c>
      <c r="I13" s="95">
        <f t="shared" si="2"/>
        <v>0</v>
      </c>
      <c r="J13" s="104">
        <f t="shared" si="3"/>
        <v>0</v>
      </c>
      <c r="K13" s="104">
        <f t="shared" si="4"/>
        <v>0</v>
      </c>
      <c r="L13" s="104">
        <f t="shared" si="5"/>
        <v>0</v>
      </c>
      <c r="M13" s="77"/>
    </row>
    <row r="14" spans="1:13" ht="15" customHeight="1" x14ac:dyDescent="0.25">
      <c r="A14" s="77"/>
      <c r="B14" s="77"/>
      <c r="C14" s="77"/>
      <c r="D14" s="77"/>
      <c r="E14" s="77"/>
      <c r="F14" s="148" t="str">
        <f t="shared" si="0"/>
        <v/>
      </c>
      <c r="G14" s="77"/>
      <c r="H14" s="97" t="str">
        <f t="shared" si="1"/>
        <v/>
      </c>
      <c r="I14" s="95">
        <f t="shared" si="2"/>
        <v>0</v>
      </c>
      <c r="J14" s="104">
        <f t="shared" si="3"/>
        <v>0</v>
      </c>
      <c r="K14" s="104">
        <f t="shared" si="4"/>
        <v>0</v>
      </c>
      <c r="L14" s="104">
        <f t="shared" si="5"/>
        <v>0</v>
      </c>
      <c r="M14" s="77"/>
    </row>
    <row r="15" spans="1:13" ht="15" customHeight="1" x14ac:dyDescent="0.25">
      <c r="A15" s="77"/>
      <c r="B15" s="77"/>
      <c r="C15" s="77"/>
      <c r="D15" s="77"/>
      <c r="E15" s="77"/>
      <c r="F15" s="148" t="str">
        <f t="shared" si="0"/>
        <v/>
      </c>
      <c r="G15" s="77"/>
      <c r="H15" s="97" t="str">
        <f t="shared" si="1"/>
        <v/>
      </c>
      <c r="I15" s="95">
        <f t="shared" si="2"/>
        <v>0</v>
      </c>
      <c r="J15" s="104">
        <f t="shared" si="3"/>
        <v>0</v>
      </c>
      <c r="K15" s="104">
        <f t="shared" si="4"/>
        <v>0</v>
      </c>
      <c r="L15" s="104">
        <f t="shared" si="5"/>
        <v>0</v>
      </c>
      <c r="M15" s="77"/>
    </row>
    <row r="16" spans="1:13" ht="15" customHeight="1" x14ac:dyDescent="0.25">
      <c r="A16" s="77"/>
      <c r="B16" s="77"/>
      <c r="C16" s="77"/>
      <c r="D16" s="77"/>
      <c r="E16" s="77"/>
      <c r="F16" s="148" t="str">
        <f t="shared" si="0"/>
        <v/>
      </c>
      <c r="G16" s="77"/>
      <c r="H16" s="97" t="str">
        <f t="shared" si="1"/>
        <v/>
      </c>
      <c r="I16" s="95">
        <f t="shared" si="2"/>
        <v>0</v>
      </c>
      <c r="J16" s="104">
        <f t="shared" si="3"/>
        <v>0</v>
      </c>
      <c r="K16" s="104">
        <f t="shared" si="4"/>
        <v>0</v>
      </c>
      <c r="L16" s="104">
        <f t="shared" si="5"/>
        <v>0</v>
      </c>
      <c r="M16" s="77"/>
    </row>
    <row r="17" spans="1:13" ht="15" customHeight="1" x14ac:dyDescent="0.25">
      <c r="A17" s="77"/>
      <c r="B17" s="77"/>
      <c r="C17" s="77"/>
      <c r="D17" s="77"/>
      <c r="E17" s="77"/>
      <c r="F17" s="148" t="str">
        <f t="shared" si="0"/>
        <v/>
      </c>
      <c r="G17" s="77"/>
      <c r="H17" s="97" t="str">
        <f t="shared" si="1"/>
        <v/>
      </c>
      <c r="I17" s="95">
        <f t="shared" si="2"/>
        <v>0</v>
      </c>
      <c r="J17" s="104">
        <f t="shared" si="3"/>
        <v>0</v>
      </c>
      <c r="K17" s="104">
        <f t="shared" si="4"/>
        <v>0</v>
      </c>
      <c r="L17" s="104">
        <f t="shared" si="5"/>
        <v>0</v>
      </c>
      <c r="M17" s="77"/>
    </row>
    <row r="18" spans="1:13" ht="15" customHeight="1" x14ac:dyDescent="0.25">
      <c r="A18" s="77"/>
      <c r="B18" s="77"/>
      <c r="C18" s="77"/>
      <c r="D18" s="77"/>
      <c r="E18" s="77"/>
      <c r="F18" s="148" t="str">
        <f t="shared" si="0"/>
        <v/>
      </c>
      <c r="G18" s="77"/>
      <c r="H18" s="97" t="str">
        <f t="shared" si="1"/>
        <v/>
      </c>
      <c r="I18" s="95">
        <f t="shared" si="2"/>
        <v>0</v>
      </c>
      <c r="J18" s="104">
        <f t="shared" si="3"/>
        <v>0</v>
      </c>
      <c r="K18" s="104">
        <f t="shared" si="4"/>
        <v>0</v>
      </c>
      <c r="L18" s="104">
        <f t="shared" si="5"/>
        <v>0</v>
      </c>
      <c r="M18" s="77"/>
    </row>
    <row r="19" spans="1:13" ht="15" customHeight="1" x14ac:dyDescent="0.25">
      <c r="A19" s="77"/>
      <c r="B19" s="77"/>
      <c r="C19" s="77"/>
      <c r="D19" s="77"/>
      <c r="E19" s="77"/>
      <c r="F19" s="148" t="str">
        <f t="shared" si="0"/>
        <v/>
      </c>
      <c r="G19" s="77"/>
      <c r="H19" s="97" t="str">
        <f t="shared" si="1"/>
        <v/>
      </c>
      <c r="I19" s="95">
        <f t="shared" si="2"/>
        <v>0</v>
      </c>
      <c r="J19" s="104">
        <f t="shared" si="3"/>
        <v>0</v>
      </c>
      <c r="K19" s="104">
        <f t="shared" si="4"/>
        <v>0</v>
      </c>
      <c r="L19" s="104">
        <f t="shared" si="5"/>
        <v>0</v>
      </c>
      <c r="M19" s="77"/>
    </row>
    <row r="20" spans="1:13" ht="15" customHeight="1" x14ac:dyDescent="0.25">
      <c r="A20" s="77"/>
      <c r="B20" s="77"/>
      <c r="C20" s="77"/>
      <c r="D20" s="77"/>
      <c r="E20" s="77"/>
      <c r="F20" s="148" t="str">
        <f t="shared" si="0"/>
        <v/>
      </c>
      <c r="G20" s="77"/>
      <c r="H20" s="97" t="str">
        <f t="shared" si="1"/>
        <v/>
      </c>
      <c r="I20" s="95">
        <f t="shared" si="2"/>
        <v>0</v>
      </c>
      <c r="J20" s="104">
        <f t="shared" si="3"/>
        <v>0</v>
      </c>
      <c r="K20" s="104">
        <f t="shared" si="4"/>
        <v>0</v>
      </c>
      <c r="L20" s="104">
        <f t="shared" si="5"/>
        <v>0</v>
      </c>
      <c r="M20" s="77"/>
    </row>
    <row r="21" spans="1:13" ht="15" customHeight="1" x14ac:dyDescent="0.25">
      <c r="A21" s="77"/>
      <c r="B21" s="77"/>
      <c r="C21" s="77"/>
      <c r="D21" s="77"/>
      <c r="E21" s="77"/>
      <c r="F21" s="148" t="str">
        <f t="shared" si="0"/>
        <v/>
      </c>
      <c r="G21" s="77"/>
      <c r="H21" s="97" t="str">
        <f t="shared" si="1"/>
        <v/>
      </c>
      <c r="I21" s="95">
        <f t="shared" si="2"/>
        <v>0</v>
      </c>
      <c r="J21" s="104">
        <f t="shared" si="3"/>
        <v>0</v>
      </c>
      <c r="K21" s="104">
        <f t="shared" si="4"/>
        <v>0</v>
      </c>
      <c r="L21" s="104">
        <f t="shared" si="5"/>
        <v>0</v>
      </c>
      <c r="M21" s="77"/>
    </row>
    <row r="22" spans="1:13" ht="15" customHeight="1" x14ac:dyDescent="0.25">
      <c r="A22" s="77"/>
      <c r="B22" s="77"/>
      <c r="C22" s="77"/>
      <c r="D22" s="77"/>
      <c r="E22" s="77"/>
      <c r="F22" s="148" t="str">
        <f t="shared" si="0"/>
        <v/>
      </c>
      <c r="G22" s="77"/>
      <c r="H22" s="97" t="str">
        <f t="shared" si="1"/>
        <v/>
      </c>
      <c r="I22" s="95">
        <f t="shared" si="2"/>
        <v>0</v>
      </c>
      <c r="J22" s="104">
        <f t="shared" si="3"/>
        <v>0</v>
      </c>
      <c r="K22" s="104">
        <f t="shared" si="4"/>
        <v>0</v>
      </c>
      <c r="L22" s="104">
        <f t="shared" si="5"/>
        <v>0</v>
      </c>
      <c r="M22" s="77"/>
    </row>
    <row r="23" spans="1:13" ht="15" customHeight="1" x14ac:dyDescent="0.25">
      <c r="A23" s="77"/>
      <c r="B23" s="77"/>
      <c r="C23" s="77"/>
      <c r="D23" s="77"/>
      <c r="E23" s="77"/>
      <c r="F23" s="148" t="str">
        <f t="shared" si="0"/>
        <v/>
      </c>
      <c r="G23" s="77"/>
      <c r="H23" s="97" t="str">
        <f t="shared" si="1"/>
        <v/>
      </c>
      <c r="I23" s="95">
        <f t="shared" si="2"/>
        <v>0</v>
      </c>
      <c r="J23" s="104">
        <f t="shared" si="3"/>
        <v>0</v>
      </c>
      <c r="K23" s="104">
        <f t="shared" si="4"/>
        <v>0</v>
      </c>
      <c r="L23" s="104">
        <f t="shared" si="5"/>
        <v>0</v>
      </c>
      <c r="M23" s="77"/>
    </row>
    <row r="24" spans="1:13" ht="15" customHeight="1" x14ac:dyDescent="0.25">
      <c r="A24" s="77"/>
      <c r="B24" s="77"/>
      <c r="C24" s="77"/>
      <c r="D24" s="77"/>
      <c r="E24" s="77"/>
      <c r="F24" s="148" t="str">
        <f t="shared" si="0"/>
        <v/>
      </c>
      <c r="G24" s="77"/>
      <c r="H24" s="97" t="str">
        <f t="shared" si="1"/>
        <v/>
      </c>
      <c r="I24" s="95">
        <f t="shared" si="2"/>
        <v>0</v>
      </c>
      <c r="J24" s="104">
        <f t="shared" si="3"/>
        <v>0</v>
      </c>
      <c r="K24" s="104">
        <f t="shared" si="4"/>
        <v>0</v>
      </c>
      <c r="L24" s="104">
        <f t="shared" si="5"/>
        <v>0</v>
      </c>
      <c r="M24" s="77"/>
    </row>
    <row r="25" spans="1:13" ht="15" customHeight="1" x14ac:dyDescent="0.25">
      <c r="A25" s="77"/>
      <c r="B25" s="77"/>
      <c r="C25" s="77"/>
      <c r="D25" s="77"/>
      <c r="E25" s="77"/>
      <c r="F25" s="148" t="str">
        <f t="shared" si="0"/>
        <v/>
      </c>
      <c r="G25" s="77"/>
      <c r="H25" s="97" t="str">
        <f t="shared" si="1"/>
        <v/>
      </c>
      <c r="I25" s="95">
        <f t="shared" si="2"/>
        <v>0</v>
      </c>
      <c r="J25" s="104">
        <f t="shared" si="3"/>
        <v>0</v>
      </c>
      <c r="K25" s="104">
        <f t="shared" si="4"/>
        <v>0</v>
      </c>
      <c r="L25" s="104">
        <f t="shared" si="5"/>
        <v>0</v>
      </c>
      <c r="M25" s="77"/>
    </row>
    <row r="26" spans="1:13" ht="15" customHeight="1" x14ac:dyDescent="0.25">
      <c r="A26" s="77"/>
      <c r="B26" s="77"/>
      <c r="C26" s="77"/>
      <c r="D26" s="77"/>
      <c r="E26" s="77"/>
      <c r="F26" s="148" t="str">
        <f t="shared" si="0"/>
        <v/>
      </c>
      <c r="G26" s="77"/>
      <c r="H26" s="97" t="str">
        <f t="shared" si="1"/>
        <v/>
      </c>
      <c r="I26" s="95">
        <f t="shared" si="2"/>
        <v>0</v>
      </c>
      <c r="J26" s="104">
        <f t="shared" si="3"/>
        <v>0</v>
      </c>
      <c r="K26" s="104">
        <f t="shared" si="4"/>
        <v>0</v>
      </c>
      <c r="L26" s="104">
        <f t="shared" si="5"/>
        <v>0</v>
      </c>
      <c r="M26" s="77"/>
    </row>
    <row r="27" spans="1:13" ht="15" customHeight="1" x14ac:dyDescent="0.25">
      <c r="A27" s="77"/>
      <c r="B27" s="77"/>
      <c r="C27" s="77"/>
      <c r="D27" s="77"/>
      <c r="E27" s="77"/>
      <c r="F27" s="148" t="str">
        <f t="shared" si="0"/>
        <v/>
      </c>
      <c r="G27" s="77"/>
      <c r="H27" s="97" t="str">
        <f t="shared" si="1"/>
        <v/>
      </c>
      <c r="I27" s="95">
        <f t="shared" si="2"/>
        <v>0</v>
      </c>
      <c r="J27" s="104">
        <f t="shared" si="3"/>
        <v>0</v>
      </c>
      <c r="K27" s="104">
        <f t="shared" si="4"/>
        <v>0</v>
      </c>
      <c r="L27" s="104">
        <f t="shared" si="5"/>
        <v>0</v>
      </c>
      <c r="M27" s="77"/>
    </row>
    <row r="28" spans="1:13" ht="15" customHeight="1" x14ac:dyDescent="0.25">
      <c r="A28" s="77"/>
      <c r="B28" s="77"/>
      <c r="C28" s="77"/>
      <c r="D28" s="77"/>
      <c r="E28" s="77"/>
      <c r="F28" s="148" t="str">
        <f t="shared" si="0"/>
        <v/>
      </c>
      <c r="G28" s="77"/>
      <c r="H28" s="97" t="str">
        <f t="shared" si="1"/>
        <v/>
      </c>
      <c r="I28" s="95">
        <f t="shared" si="2"/>
        <v>0</v>
      </c>
      <c r="J28" s="104">
        <f t="shared" si="3"/>
        <v>0</v>
      </c>
      <c r="K28" s="104">
        <f t="shared" si="4"/>
        <v>0</v>
      </c>
      <c r="L28" s="104">
        <f t="shared" si="5"/>
        <v>0</v>
      </c>
      <c r="M28" s="77"/>
    </row>
    <row r="29" spans="1:13" ht="15" customHeight="1" x14ac:dyDescent="0.25">
      <c r="A29" s="77"/>
      <c r="B29" s="77"/>
      <c r="C29" s="77"/>
      <c r="D29" s="77"/>
      <c r="E29" s="77"/>
      <c r="F29" s="148" t="str">
        <f t="shared" si="0"/>
        <v/>
      </c>
      <c r="G29" s="77"/>
      <c r="H29" s="97" t="str">
        <f t="shared" si="1"/>
        <v/>
      </c>
      <c r="I29" s="95">
        <f t="shared" si="2"/>
        <v>0</v>
      </c>
      <c r="J29" s="104">
        <f t="shared" si="3"/>
        <v>0</v>
      </c>
      <c r="K29" s="104">
        <f t="shared" si="4"/>
        <v>0</v>
      </c>
      <c r="L29" s="104">
        <f t="shared" si="5"/>
        <v>0</v>
      </c>
      <c r="M29" s="77"/>
    </row>
    <row r="30" spans="1:13" ht="15" customHeight="1" x14ac:dyDescent="0.25">
      <c r="A30" s="77"/>
      <c r="B30" s="77"/>
      <c r="C30" s="77"/>
      <c r="D30" s="77"/>
      <c r="E30" s="77"/>
      <c r="F30" s="148" t="str">
        <f t="shared" si="0"/>
        <v/>
      </c>
      <c r="G30" s="77"/>
      <c r="H30" s="97" t="str">
        <f t="shared" si="1"/>
        <v/>
      </c>
      <c r="I30" s="95">
        <f t="shared" si="2"/>
        <v>0</v>
      </c>
      <c r="J30" s="104">
        <f t="shared" si="3"/>
        <v>0</v>
      </c>
      <c r="K30" s="104">
        <f t="shared" si="4"/>
        <v>0</v>
      </c>
      <c r="L30" s="104">
        <f t="shared" si="5"/>
        <v>0</v>
      </c>
      <c r="M30" s="77"/>
    </row>
    <row r="31" spans="1:13" ht="15" customHeight="1" x14ac:dyDescent="0.25">
      <c r="A31" s="77"/>
      <c r="B31" s="77"/>
      <c r="C31" s="77"/>
      <c r="D31" s="77"/>
      <c r="E31" s="77"/>
      <c r="F31" s="148" t="str">
        <f t="shared" si="0"/>
        <v/>
      </c>
      <c r="G31" s="77"/>
      <c r="H31" s="97" t="str">
        <f t="shared" si="1"/>
        <v/>
      </c>
      <c r="I31" s="95">
        <f t="shared" si="2"/>
        <v>0</v>
      </c>
      <c r="J31" s="104">
        <f t="shared" si="3"/>
        <v>0</v>
      </c>
      <c r="K31" s="104">
        <f t="shared" si="4"/>
        <v>0</v>
      </c>
      <c r="L31" s="104">
        <f t="shared" si="5"/>
        <v>0</v>
      </c>
      <c r="M31" s="77"/>
    </row>
    <row r="32" spans="1:13" ht="15" customHeight="1" x14ac:dyDescent="0.25">
      <c r="A32" s="77"/>
      <c r="B32" s="77"/>
      <c r="C32" s="77"/>
      <c r="D32" s="77"/>
      <c r="E32" s="77"/>
      <c r="F32" s="148" t="str">
        <f t="shared" si="0"/>
        <v/>
      </c>
      <c r="G32" s="77"/>
      <c r="H32" s="97" t="str">
        <f t="shared" si="1"/>
        <v/>
      </c>
      <c r="I32" s="95">
        <f t="shared" si="2"/>
        <v>0</v>
      </c>
      <c r="J32" s="104">
        <f t="shared" si="3"/>
        <v>0</v>
      </c>
      <c r="K32" s="104">
        <f t="shared" si="4"/>
        <v>0</v>
      </c>
      <c r="L32" s="104">
        <f t="shared" si="5"/>
        <v>0</v>
      </c>
      <c r="M32" s="77"/>
    </row>
    <row r="33" spans="1:13" ht="15" customHeight="1" x14ac:dyDescent="0.25">
      <c r="A33" s="77"/>
      <c r="B33" s="77"/>
      <c r="C33" s="77"/>
      <c r="D33" s="77"/>
      <c r="E33" s="77"/>
      <c r="F33" s="148" t="str">
        <f t="shared" si="0"/>
        <v/>
      </c>
      <c r="G33" s="77"/>
      <c r="H33" s="97" t="str">
        <f t="shared" si="1"/>
        <v/>
      </c>
      <c r="I33" s="95">
        <f t="shared" si="2"/>
        <v>0</v>
      </c>
      <c r="J33" s="104">
        <f t="shared" si="3"/>
        <v>0</v>
      </c>
      <c r="K33" s="104">
        <f t="shared" si="4"/>
        <v>0</v>
      </c>
      <c r="L33" s="104">
        <f t="shared" si="5"/>
        <v>0</v>
      </c>
      <c r="M33" s="77"/>
    </row>
    <row r="34" spans="1:13" ht="15" customHeight="1" x14ac:dyDescent="0.25">
      <c r="A34" s="77"/>
      <c r="B34" s="77"/>
      <c r="C34" s="77"/>
      <c r="D34" s="77"/>
      <c r="E34" s="77"/>
      <c r="F34" s="148" t="str">
        <f t="shared" si="0"/>
        <v/>
      </c>
      <c r="G34" s="77"/>
      <c r="H34" s="97" t="str">
        <f t="shared" si="1"/>
        <v/>
      </c>
      <c r="I34" s="95">
        <f t="shared" si="2"/>
        <v>0</v>
      </c>
      <c r="J34" s="104">
        <f t="shared" si="3"/>
        <v>0</v>
      </c>
      <c r="K34" s="104">
        <f t="shared" si="4"/>
        <v>0</v>
      </c>
      <c r="L34" s="104">
        <f t="shared" si="5"/>
        <v>0</v>
      </c>
      <c r="M34" s="77"/>
    </row>
    <row r="35" spans="1:13" ht="15" customHeight="1" x14ac:dyDescent="0.25">
      <c r="A35" s="77"/>
      <c r="B35" s="77"/>
      <c r="C35" s="77"/>
      <c r="D35" s="77"/>
      <c r="E35" s="77"/>
      <c r="F35" s="148" t="str">
        <f t="shared" ref="F35:F66" si="6">IFERROR(VLOOKUP(E35,Materials_Table,2,FALSE()),IFERROR(VLOOKUP(E35,Hardware_Table,2,FALSE()),""))</f>
        <v/>
      </c>
      <c r="G35" s="77"/>
      <c r="H35" s="97" t="str">
        <f t="shared" ref="H35:H66" si="7">IFERROR(VLOOKUP(E35,Materials_Table,5,FALSE()),IFERROR(VLOOKUP(E35,Hardware_Table,5,FALSE()),""))</f>
        <v/>
      </c>
      <c r="I35" s="95">
        <f t="shared" ref="I35:I66" si="8">IFERROR(VLOOKUP(E35,Materials_Table,6,FALSE()),IFERROR(VLOOKUP(E35,Hardware_Table,6,FALSE()),0))</f>
        <v>0</v>
      </c>
      <c r="J35" s="104">
        <f t="shared" ref="J35:J66" si="9">G35*I35</f>
        <v>0</v>
      </c>
      <c r="K35" s="104">
        <f t="shared" ref="K35:K66" si="10">J35*VAT_Rate</f>
        <v>0</v>
      </c>
      <c r="L35" s="104">
        <f t="shared" ref="L35:L66" si="11">J35+K35</f>
        <v>0</v>
      </c>
      <c r="M35" s="77"/>
    </row>
    <row r="36" spans="1:13" ht="15" customHeight="1" x14ac:dyDescent="0.25">
      <c r="A36" s="77"/>
      <c r="B36" s="77"/>
      <c r="C36" s="77"/>
      <c r="D36" s="77"/>
      <c r="E36" s="77"/>
      <c r="F36" s="148" t="str">
        <f t="shared" si="6"/>
        <v/>
      </c>
      <c r="G36" s="77"/>
      <c r="H36" s="97" t="str">
        <f t="shared" si="7"/>
        <v/>
      </c>
      <c r="I36" s="95">
        <f t="shared" si="8"/>
        <v>0</v>
      </c>
      <c r="J36" s="104">
        <f t="shared" si="9"/>
        <v>0</v>
      </c>
      <c r="K36" s="104">
        <f t="shared" si="10"/>
        <v>0</v>
      </c>
      <c r="L36" s="104">
        <f t="shared" si="11"/>
        <v>0</v>
      </c>
      <c r="M36" s="77"/>
    </row>
    <row r="37" spans="1:13" ht="15" customHeight="1" x14ac:dyDescent="0.25">
      <c r="A37" s="77"/>
      <c r="B37" s="77"/>
      <c r="C37" s="77"/>
      <c r="D37" s="77"/>
      <c r="E37" s="77"/>
      <c r="F37" s="148" t="str">
        <f t="shared" si="6"/>
        <v/>
      </c>
      <c r="G37" s="77"/>
      <c r="H37" s="97" t="str">
        <f t="shared" si="7"/>
        <v/>
      </c>
      <c r="I37" s="95">
        <f t="shared" si="8"/>
        <v>0</v>
      </c>
      <c r="J37" s="104">
        <f t="shared" si="9"/>
        <v>0</v>
      </c>
      <c r="K37" s="104">
        <f t="shared" si="10"/>
        <v>0</v>
      </c>
      <c r="L37" s="104">
        <f t="shared" si="11"/>
        <v>0</v>
      </c>
      <c r="M37" s="77"/>
    </row>
    <row r="38" spans="1:13" ht="15" customHeight="1" x14ac:dyDescent="0.25">
      <c r="A38" s="77"/>
      <c r="B38" s="77"/>
      <c r="C38" s="77"/>
      <c r="D38" s="77"/>
      <c r="E38" s="77"/>
      <c r="F38" s="148" t="str">
        <f t="shared" si="6"/>
        <v/>
      </c>
      <c r="G38" s="77"/>
      <c r="H38" s="97" t="str">
        <f t="shared" si="7"/>
        <v/>
      </c>
      <c r="I38" s="95">
        <f t="shared" si="8"/>
        <v>0</v>
      </c>
      <c r="J38" s="104">
        <f t="shared" si="9"/>
        <v>0</v>
      </c>
      <c r="K38" s="104">
        <f t="shared" si="10"/>
        <v>0</v>
      </c>
      <c r="L38" s="104">
        <f t="shared" si="11"/>
        <v>0</v>
      </c>
      <c r="M38" s="77"/>
    </row>
    <row r="39" spans="1:13" ht="15" customHeight="1" x14ac:dyDescent="0.25">
      <c r="A39" s="77"/>
      <c r="B39" s="77"/>
      <c r="C39" s="77"/>
      <c r="D39" s="77"/>
      <c r="E39" s="77"/>
      <c r="F39" s="148" t="str">
        <f t="shared" si="6"/>
        <v/>
      </c>
      <c r="G39" s="77"/>
      <c r="H39" s="97" t="str">
        <f t="shared" si="7"/>
        <v/>
      </c>
      <c r="I39" s="95">
        <f t="shared" si="8"/>
        <v>0</v>
      </c>
      <c r="J39" s="104">
        <f t="shared" si="9"/>
        <v>0</v>
      </c>
      <c r="K39" s="104">
        <f t="shared" si="10"/>
        <v>0</v>
      </c>
      <c r="L39" s="104">
        <f t="shared" si="11"/>
        <v>0</v>
      </c>
      <c r="M39" s="77"/>
    </row>
    <row r="40" spans="1:13" ht="15" customHeight="1" x14ac:dyDescent="0.25">
      <c r="A40" s="77"/>
      <c r="B40" s="77"/>
      <c r="C40" s="77"/>
      <c r="D40" s="77"/>
      <c r="E40" s="77"/>
      <c r="F40" s="148" t="str">
        <f t="shared" si="6"/>
        <v/>
      </c>
      <c r="G40" s="77"/>
      <c r="H40" s="97" t="str">
        <f t="shared" si="7"/>
        <v/>
      </c>
      <c r="I40" s="95">
        <f t="shared" si="8"/>
        <v>0</v>
      </c>
      <c r="J40" s="104">
        <f t="shared" si="9"/>
        <v>0</v>
      </c>
      <c r="K40" s="104">
        <f t="shared" si="10"/>
        <v>0</v>
      </c>
      <c r="L40" s="104">
        <f t="shared" si="11"/>
        <v>0</v>
      </c>
      <c r="M40" s="77"/>
    </row>
    <row r="41" spans="1:13" ht="15" customHeight="1" x14ac:dyDescent="0.25">
      <c r="A41" s="77"/>
      <c r="B41" s="77"/>
      <c r="C41" s="77"/>
      <c r="D41" s="77"/>
      <c r="E41" s="77"/>
      <c r="F41" s="148" t="str">
        <f t="shared" si="6"/>
        <v/>
      </c>
      <c r="G41" s="77"/>
      <c r="H41" s="97" t="str">
        <f t="shared" si="7"/>
        <v/>
      </c>
      <c r="I41" s="95">
        <f t="shared" si="8"/>
        <v>0</v>
      </c>
      <c r="J41" s="104">
        <f t="shared" si="9"/>
        <v>0</v>
      </c>
      <c r="K41" s="104">
        <f t="shared" si="10"/>
        <v>0</v>
      </c>
      <c r="L41" s="104">
        <f t="shared" si="11"/>
        <v>0</v>
      </c>
      <c r="M41" s="77"/>
    </row>
    <row r="42" spans="1:13" ht="15" customHeight="1" x14ac:dyDescent="0.25">
      <c r="A42" s="77"/>
      <c r="B42" s="77"/>
      <c r="C42" s="77"/>
      <c r="D42" s="77"/>
      <c r="E42" s="77"/>
      <c r="F42" s="148" t="str">
        <f t="shared" si="6"/>
        <v/>
      </c>
      <c r="G42" s="77"/>
      <c r="H42" s="97" t="str">
        <f t="shared" si="7"/>
        <v/>
      </c>
      <c r="I42" s="95">
        <f t="shared" si="8"/>
        <v>0</v>
      </c>
      <c r="J42" s="104">
        <f t="shared" si="9"/>
        <v>0</v>
      </c>
      <c r="K42" s="104">
        <f t="shared" si="10"/>
        <v>0</v>
      </c>
      <c r="L42" s="104">
        <f t="shared" si="11"/>
        <v>0</v>
      </c>
      <c r="M42" s="77"/>
    </row>
    <row r="43" spans="1:13" ht="15" customHeight="1" x14ac:dyDescent="0.25">
      <c r="A43" s="77"/>
      <c r="B43" s="77"/>
      <c r="C43" s="77"/>
      <c r="D43" s="77"/>
      <c r="E43" s="77"/>
      <c r="F43" s="148" t="str">
        <f t="shared" si="6"/>
        <v/>
      </c>
      <c r="G43" s="77"/>
      <c r="H43" s="97" t="str">
        <f t="shared" si="7"/>
        <v/>
      </c>
      <c r="I43" s="95">
        <f t="shared" si="8"/>
        <v>0</v>
      </c>
      <c r="J43" s="104">
        <f t="shared" si="9"/>
        <v>0</v>
      </c>
      <c r="K43" s="104">
        <f t="shared" si="10"/>
        <v>0</v>
      </c>
      <c r="L43" s="104">
        <f t="shared" si="11"/>
        <v>0</v>
      </c>
      <c r="M43" s="77"/>
    </row>
    <row r="44" spans="1:13" ht="15" customHeight="1" x14ac:dyDescent="0.25">
      <c r="A44" s="77"/>
      <c r="B44" s="77"/>
      <c r="C44" s="77"/>
      <c r="D44" s="77"/>
      <c r="E44" s="77"/>
      <c r="F44" s="148" t="str">
        <f t="shared" si="6"/>
        <v/>
      </c>
      <c r="G44" s="77"/>
      <c r="H44" s="97" t="str">
        <f t="shared" si="7"/>
        <v/>
      </c>
      <c r="I44" s="95">
        <f t="shared" si="8"/>
        <v>0</v>
      </c>
      <c r="J44" s="104">
        <f t="shared" si="9"/>
        <v>0</v>
      </c>
      <c r="K44" s="104">
        <f t="shared" si="10"/>
        <v>0</v>
      </c>
      <c r="L44" s="104">
        <f t="shared" si="11"/>
        <v>0</v>
      </c>
      <c r="M44" s="77"/>
    </row>
    <row r="45" spans="1:13" ht="15" customHeight="1" x14ac:dyDescent="0.25">
      <c r="A45" s="77"/>
      <c r="B45" s="77"/>
      <c r="C45" s="77"/>
      <c r="D45" s="77"/>
      <c r="E45" s="77"/>
      <c r="F45" s="148" t="str">
        <f t="shared" si="6"/>
        <v/>
      </c>
      <c r="G45" s="77"/>
      <c r="H45" s="97" t="str">
        <f t="shared" si="7"/>
        <v/>
      </c>
      <c r="I45" s="95">
        <f t="shared" si="8"/>
        <v>0</v>
      </c>
      <c r="J45" s="104">
        <f t="shared" si="9"/>
        <v>0</v>
      </c>
      <c r="K45" s="104">
        <f t="shared" si="10"/>
        <v>0</v>
      </c>
      <c r="L45" s="104">
        <f t="shared" si="11"/>
        <v>0</v>
      </c>
      <c r="M45" s="77"/>
    </row>
    <row r="46" spans="1:13" ht="15" customHeight="1" x14ac:dyDescent="0.25">
      <c r="A46" s="77"/>
      <c r="B46" s="77"/>
      <c r="C46" s="77"/>
      <c r="D46" s="77"/>
      <c r="E46" s="77"/>
      <c r="F46" s="148" t="str">
        <f t="shared" si="6"/>
        <v/>
      </c>
      <c r="G46" s="77"/>
      <c r="H46" s="97" t="str">
        <f t="shared" si="7"/>
        <v/>
      </c>
      <c r="I46" s="95">
        <f t="shared" si="8"/>
        <v>0</v>
      </c>
      <c r="J46" s="104">
        <f t="shared" si="9"/>
        <v>0</v>
      </c>
      <c r="K46" s="104">
        <f t="shared" si="10"/>
        <v>0</v>
      </c>
      <c r="L46" s="104">
        <f t="shared" si="11"/>
        <v>0</v>
      </c>
      <c r="M46" s="77"/>
    </row>
    <row r="47" spans="1:13" ht="15" customHeight="1" x14ac:dyDescent="0.25">
      <c r="A47" s="77"/>
      <c r="B47" s="77"/>
      <c r="C47" s="77"/>
      <c r="D47" s="77"/>
      <c r="E47" s="77"/>
      <c r="F47" s="148" t="str">
        <f t="shared" si="6"/>
        <v/>
      </c>
      <c r="G47" s="77"/>
      <c r="H47" s="97" t="str">
        <f t="shared" si="7"/>
        <v/>
      </c>
      <c r="I47" s="95">
        <f t="shared" si="8"/>
        <v>0</v>
      </c>
      <c r="J47" s="104">
        <f t="shared" si="9"/>
        <v>0</v>
      </c>
      <c r="K47" s="104">
        <f t="shared" si="10"/>
        <v>0</v>
      </c>
      <c r="L47" s="104">
        <f t="shared" si="11"/>
        <v>0</v>
      </c>
      <c r="M47" s="77"/>
    </row>
    <row r="48" spans="1:13" ht="15" customHeight="1" x14ac:dyDescent="0.25">
      <c r="A48" s="77"/>
      <c r="B48" s="77"/>
      <c r="C48" s="77"/>
      <c r="D48" s="77"/>
      <c r="E48" s="77"/>
      <c r="F48" s="148" t="str">
        <f t="shared" si="6"/>
        <v/>
      </c>
      <c r="G48" s="77"/>
      <c r="H48" s="97" t="str">
        <f t="shared" si="7"/>
        <v/>
      </c>
      <c r="I48" s="95">
        <f t="shared" si="8"/>
        <v>0</v>
      </c>
      <c r="J48" s="104">
        <f t="shared" si="9"/>
        <v>0</v>
      </c>
      <c r="K48" s="104">
        <f t="shared" si="10"/>
        <v>0</v>
      </c>
      <c r="L48" s="104">
        <f t="shared" si="11"/>
        <v>0</v>
      </c>
      <c r="M48" s="77"/>
    </row>
    <row r="49" spans="1:13" ht="15" customHeight="1" x14ac:dyDescent="0.25">
      <c r="A49" s="77"/>
      <c r="B49" s="77"/>
      <c r="C49" s="77"/>
      <c r="D49" s="77"/>
      <c r="E49" s="77"/>
      <c r="F49" s="148" t="str">
        <f t="shared" si="6"/>
        <v/>
      </c>
      <c r="G49" s="77"/>
      <c r="H49" s="97" t="str">
        <f t="shared" si="7"/>
        <v/>
      </c>
      <c r="I49" s="95">
        <f t="shared" si="8"/>
        <v>0</v>
      </c>
      <c r="J49" s="104">
        <f t="shared" si="9"/>
        <v>0</v>
      </c>
      <c r="K49" s="104">
        <f t="shared" si="10"/>
        <v>0</v>
      </c>
      <c r="L49" s="104">
        <f t="shared" si="11"/>
        <v>0</v>
      </c>
      <c r="M49" s="77"/>
    </row>
    <row r="50" spans="1:13" ht="15" customHeight="1" x14ac:dyDescent="0.25">
      <c r="A50" s="77"/>
      <c r="B50" s="77"/>
      <c r="C50" s="77"/>
      <c r="D50" s="77"/>
      <c r="E50" s="77"/>
      <c r="F50" s="148" t="str">
        <f t="shared" si="6"/>
        <v/>
      </c>
      <c r="G50" s="77"/>
      <c r="H50" s="97" t="str">
        <f t="shared" si="7"/>
        <v/>
      </c>
      <c r="I50" s="95">
        <f t="shared" si="8"/>
        <v>0</v>
      </c>
      <c r="J50" s="104">
        <f t="shared" si="9"/>
        <v>0</v>
      </c>
      <c r="K50" s="104">
        <f t="shared" si="10"/>
        <v>0</v>
      </c>
      <c r="L50" s="104">
        <f t="shared" si="11"/>
        <v>0</v>
      </c>
      <c r="M50" s="77"/>
    </row>
    <row r="51" spans="1:13" ht="15" customHeight="1" x14ac:dyDescent="0.25">
      <c r="A51" s="77"/>
      <c r="B51" s="77"/>
      <c r="C51" s="77"/>
      <c r="D51" s="77"/>
      <c r="E51" s="77"/>
      <c r="F51" s="148" t="str">
        <f t="shared" si="6"/>
        <v/>
      </c>
      <c r="G51" s="77"/>
      <c r="H51" s="97" t="str">
        <f t="shared" si="7"/>
        <v/>
      </c>
      <c r="I51" s="95">
        <f t="shared" si="8"/>
        <v>0</v>
      </c>
      <c r="J51" s="104">
        <f t="shared" si="9"/>
        <v>0</v>
      </c>
      <c r="K51" s="104">
        <f t="shared" si="10"/>
        <v>0</v>
      </c>
      <c r="L51" s="104">
        <f t="shared" si="11"/>
        <v>0</v>
      </c>
      <c r="M51" s="77"/>
    </row>
    <row r="52" spans="1:13" ht="15" customHeight="1" x14ac:dyDescent="0.25">
      <c r="A52" s="77"/>
      <c r="B52" s="77"/>
      <c r="C52" s="77"/>
      <c r="D52" s="77"/>
      <c r="E52" s="77"/>
      <c r="F52" s="148" t="str">
        <f t="shared" si="6"/>
        <v/>
      </c>
      <c r="G52" s="77"/>
      <c r="H52" s="97" t="str">
        <f t="shared" si="7"/>
        <v/>
      </c>
      <c r="I52" s="95">
        <f t="shared" si="8"/>
        <v>0</v>
      </c>
      <c r="J52" s="104">
        <f t="shared" si="9"/>
        <v>0</v>
      </c>
      <c r="K52" s="104">
        <f t="shared" si="10"/>
        <v>0</v>
      </c>
      <c r="L52" s="104">
        <f t="shared" si="11"/>
        <v>0</v>
      </c>
      <c r="M52" s="77"/>
    </row>
    <row r="53" spans="1:13" ht="15" customHeight="1" x14ac:dyDescent="0.25">
      <c r="A53" s="77"/>
      <c r="B53" s="77"/>
      <c r="C53" s="77"/>
      <c r="D53" s="77"/>
      <c r="E53" s="77"/>
      <c r="F53" s="148" t="str">
        <f t="shared" si="6"/>
        <v/>
      </c>
      <c r="G53" s="77"/>
      <c r="H53" s="97" t="str">
        <f t="shared" si="7"/>
        <v/>
      </c>
      <c r="I53" s="95">
        <f t="shared" si="8"/>
        <v>0</v>
      </c>
      <c r="J53" s="104">
        <f t="shared" si="9"/>
        <v>0</v>
      </c>
      <c r="K53" s="104">
        <f t="shared" si="10"/>
        <v>0</v>
      </c>
      <c r="L53" s="104">
        <f t="shared" si="11"/>
        <v>0</v>
      </c>
      <c r="M53" s="77"/>
    </row>
    <row r="54" spans="1:13" ht="15" customHeight="1" x14ac:dyDescent="0.25">
      <c r="A54" s="77"/>
      <c r="B54" s="77"/>
      <c r="C54" s="77"/>
      <c r="D54" s="77"/>
      <c r="E54" s="77"/>
      <c r="F54" s="148" t="str">
        <f t="shared" si="6"/>
        <v/>
      </c>
      <c r="G54" s="77"/>
      <c r="H54" s="97" t="str">
        <f t="shared" si="7"/>
        <v/>
      </c>
      <c r="I54" s="95">
        <f t="shared" si="8"/>
        <v>0</v>
      </c>
      <c r="J54" s="104">
        <f t="shared" si="9"/>
        <v>0</v>
      </c>
      <c r="K54" s="104">
        <f t="shared" si="10"/>
        <v>0</v>
      </c>
      <c r="L54" s="104">
        <f t="shared" si="11"/>
        <v>0</v>
      </c>
      <c r="M54" s="77"/>
    </row>
    <row r="55" spans="1:13" ht="15" customHeight="1" x14ac:dyDescent="0.25">
      <c r="A55" s="77"/>
      <c r="B55" s="77"/>
      <c r="C55" s="77"/>
      <c r="D55" s="77"/>
      <c r="E55" s="77"/>
      <c r="F55" s="148" t="str">
        <f t="shared" si="6"/>
        <v/>
      </c>
      <c r="G55" s="77"/>
      <c r="H55" s="97" t="str">
        <f t="shared" si="7"/>
        <v/>
      </c>
      <c r="I55" s="95">
        <f t="shared" si="8"/>
        <v>0</v>
      </c>
      <c r="J55" s="104">
        <f t="shared" si="9"/>
        <v>0</v>
      </c>
      <c r="K55" s="104">
        <f t="shared" si="10"/>
        <v>0</v>
      </c>
      <c r="L55" s="104">
        <f t="shared" si="11"/>
        <v>0</v>
      </c>
      <c r="M55" s="77"/>
    </row>
    <row r="56" spans="1:13" ht="15" customHeight="1" x14ac:dyDescent="0.25">
      <c r="A56" s="77"/>
      <c r="B56" s="77"/>
      <c r="C56" s="77"/>
      <c r="D56" s="77"/>
      <c r="E56" s="77"/>
      <c r="F56" s="148" t="str">
        <f t="shared" si="6"/>
        <v/>
      </c>
      <c r="G56" s="77"/>
      <c r="H56" s="97" t="str">
        <f t="shared" si="7"/>
        <v/>
      </c>
      <c r="I56" s="95">
        <f t="shared" si="8"/>
        <v>0</v>
      </c>
      <c r="J56" s="104">
        <f t="shared" si="9"/>
        <v>0</v>
      </c>
      <c r="K56" s="104">
        <f t="shared" si="10"/>
        <v>0</v>
      </c>
      <c r="L56" s="104">
        <f t="shared" si="11"/>
        <v>0</v>
      </c>
      <c r="M56" s="77"/>
    </row>
    <row r="57" spans="1:13" ht="15" customHeight="1" x14ac:dyDescent="0.25">
      <c r="A57" s="77"/>
      <c r="B57" s="77"/>
      <c r="C57" s="77"/>
      <c r="D57" s="77"/>
      <c r="E57" s="77"/>
      <c r="F57" s="148" t="str">
        <f t="shared" si="6"/>
        <v/>
      </c>
      <c r="G57" s="77"/>
      <c r="H57" s="97" t="str">
        <f t="shared" si="7"/>
        <v/>
      </c>
      <c r="I57" s="95">
        <f t="shared" si="8"/>
        <v>0</v>
      </c>
      <c r="J57" s="104">
        <f t="shared" si="9"/>
        <v>0</v>
      </c>
      <c r="K57" s="104">
        <f t="shared" si="10"/>
        <v>0</v>
      </c>
      <c r="L57" s="104">
        <f t="shared" si="11"/>
        <v>0</v>
      </c>
      <c r="M57" s="77"/>
    </row>
    <row r="58" spans="1:13" ht="15" customHeight="1" x14ac:dyDescent="0.25">
      <c r="A58" s="77"/>
      <c r="B58" s="77"/>
      <c r="C58" s="77"/>
      <c r="D58" s="77"/>
      <c r="E58" s="77"/>
      <c r="F58" s="148" t="str">
        <f t="shared" si="6"/>
        <v/>
      </c>
      <c r="G58" s="77"/>
      <c r="H58" s="97" t="str">
        <f t="shared" si="7"/>
        <v/>
      </c>
      <c r="I58" s="95">
        <f t="shared" si="8"/>
        <v>0</v>
      </c>
      <c r="J58" s="104">
        <f t="shared" si="9"/>
        <v>0</v>
      </c>
      <c r="K58" s="104">
        <f t="shared" si="10"/>
        <v>0</v>
      </c>
      <c r="L58" s="104">
        <f t="shared" si="11"/>
        <v>0</v>
      </c>
      <c r="M58" s="77"/>
    </row>
    <row r="59" spans="1:13" ht="15" customHeight="1" x14ac:dyDescent="0.25">
      <c r="A59" s="77"/>
      <c r="B59" s="77"/>
      <c r="C59" s="77"/>
      <c r="D59" s="77"/>
      <c r="E59" s="77"/>
      <c r="F59" s="148" t="str">
        <f t="shared" si="6"/>
        <v/>
      </c>
      <c r="G59" s="77"/>
      <c r="H59" s="97" t="str">
        <f t="shared" si="7"/>
        <v/>
      </c>
      <c r="I59" s="95">
        <f t="shared" si="8"/>
        <v>0</v>
      </c>
      <c r="J59" s="104">
        <f t="shared" si="9"/>
        <v>0</v>
      </c>
      <c r="K59" s="104">
        <f t="shared" si="10"/>
        <v>0</v>
      </c>
      <c r="L59" s="104">
        <f t="shared" si="11"/>
        <v>0</v>
      </c>
      <c r="M59" s="77"/>
    </row>
    <row r="60" spans="1:13" ht="15" customHeight="1" x14ac:dyDescent="0.25">
      <c r="A60" s="77"/>
      <c r="B60" s="77"/>
      <c r="C60" s="77"/>
      <c r="D60" s="77"/>
      <c r="E60" s="77"/>
      <c r="F60" s="148" t="str">
        <f t="shared" si="6"/>
        <v/>
      </c>
      <c r="G60" s="77"/>
      <c r="H60" s="97" t="str">
        <f t="shared" si="7"/>
        <v/>
      </c>
      <c r="I60" s="95">
        <f t="shared" si="8"/>
        <v>0</v>
      </c>
      <c r="J60" s="104">
        <f t="shared" si="9"/>
        <v>0</v>
      </c>
      <c r="K60" s="104">
        <f t="shared" si="10"/>
        <v>0</v>
      </c>
      <c r="L60" s="104">
        <f t="shared" si="11"/>
        <v>0</v>
      </c>
      <c r="M60" s="77"/>
    </row>
    <row r="61" spans="1:13" ht="15" customHeight="1" x14ac:dyDescent="0.25">
      <c r="A61" s="77"/>
      <c r="B61" s="77"/>
      <c r="C61" s="77"/>
      <c r="D61" s="77"/>
      <c r="E61" s="77"/>
      <c r="F61" s="148" t="str">
        <f t="shared" si="6"/>
        <v/>
      </c>
      <c r="G61" s="77"/>
      <c r="H61" s="97" t="str">
        <f t="shared" si="7"/>
        <v/>
      </c>
      <c r="I61" s="95">
        <f t="shared" si="8"/>
        <v>0</v>
      </c>
      <c r="J61" s="104">
        <f t="shared" si="9"/>
        <v>0</v>
      </c>
      <c r="K61" s="104">
        <f t="shared" si="10"/>
        <v>0</v>
      </c>
      <c r="L61" s="104">
        <f t="shared" si="11"/>
        <v>0</v>
      </c>
      <c r="M61" s="77"/>
    </row>
    <row r="62" spans="1:13" ht="15" customHeight="1" x14ac:dyDescent="0.25">
      <c r="A62" s="77"/>
      <c r="B62" s="77"/>
      <c r="C62" s="77"/>
      <c r="D62" s="77"/>
      <c r="E62" s="77"/>
      <c r="F62" s="148" t="str">
        <f t="shared" si="6"/>
        <v/>
      </c>
      <c r="G62" s="77"/>
      <c r="H62" s="97" t="str">
        <f t="shared" si="7"/>
        <v/>
      </c>
      <c r="I62" s="95">
        <f t="shared" si="8"/>
        <v>0</v>
      </c>
      <c r="J62" s="104">
        <f t="shared" si="9"/>
        <v>0</v>
      </c>
      <c r="K62" s="104">
        <f t="shared" si="10"/>
        <v>0</v>
      </c>
      <c r="L62" s="104">
        <f t="shared" si="11"/>
        <v>0</v>
      </c>
      <c r="M62" s="77"/>
    </row>
    <row r="63" spans="1:13" ht="15" customHeight="1" x14ac:dyDescent="0.25">
      <c r="A63" s="77"/>
      <c r="B63" s="77"/>
      <c r="C63" s="77"/>
      <c r="D63" s="77"/>
      <c r="E63" s="77"/>
      <c r="F63" s="148" t="str">
        <f t="shared" si="6"/>
        <v/>
      </c>
      <c r="G63" s="77"/>
      <c r="H63" s="97" t="str">
        <f t="shared" si="7"/>
        <v/>
      </c>
      <c r="I63" s="95">
        <f t="shared" si="8"/>
        <v>0</v>
      </c>
      <c r="J63" s="104">
        <f t="shared" si="9"/>
        <v>0</v>
      </c>
      <c r="K63" s="104">
        <f t="shared" si="10"/>
        <v>0</v>
      </c>
      <c r="L63" s="104">
        <f t="shared" si="11"/>
        <v>0</v>
      </c>
      <c r="M63" s="77"/>
    </row>
    <row r="64" spans="1:13" ht="15" customHeight="1" x14ac:dyDescent="0.25">
      <c r="A64" s="77"/>
      <c r="B64" s="77"/>
      <c r="C64" s="77"/>
      <c r="D64" s="77"/>
      <c r="E64" s="77"/>
      <c r="F64" s="148" t="str">
        <f t="shared" si="6"/>
        <v/>
      </c>
      <c r="G64" s="77"/>
      <c r="H64" s="97" t="str">
        <f t="shared" si="7"/>
        <v/>
      </c>
      <c r="I64" s="95">
        <f t="shared" si="8"/>
        <v>0</v>
      </c>
      <c r="J64" s="104">
        <f t="shared" si="9"/>
        <v>0</v>
      </c>
      <c r="K64" s="104">
        <f t="shared" si="10"/>
        <v>0</v>
      </c>
      <c r="L64" s="104">
        <f t="shared" si="11"/>
        <v>0</v>
      </c>
      <c r="M64" s="77"/>
    </row>
    <row r="65" spans="1:13" ht="15" customHeight="1" x14ac:dyDescent="0.25">
      <c r="A65" s="77"/>
      <c r="B65" s="77"/>
      <c r="C65" s="77"/>
      <c r="D65" s="77"/>
      <c r="E65" s="77"/>
      <c r="F65" s="148" t="str">
        <f t="shared" si="6"/>
        <v/>
      </c>
      <c r="G65" s="77"/>
      <c r="H65" s="97" t="str">
        <f t="shared" si="7"/>
        <v/>
      </c>
      <c r="I65" s="95">
        <f t="shared" si="8"/>
        <v>0</v>
      </c>
      <c r="J65" s="104">
        <f t="shared" si="9"/>
        <v>0</v>
      </c>
      <c r="K65" s="104">
        <f t="shared" si="10"/>
        <v>0</v>
      </c>
      <c r="L65" s="104">
        <f t="shared" si="11"/>
        <v>0</v>
      </c>
      <c r="M65" s="77"/>
    </row>
    <row r="66" spans="1:13" ht="15" customHeight="1" x14ac:dyDescent="0.25">
      <c r="A66" s="77"/>
      <c r="B66" s="77"/>
      <c r="C66" s="77"/>
      <c r="D66" s="77"/>
      <c r="E66" s="77"/>
      <c r="F66" s="148" t="str">
        <f t="shared" si="6"/>
        <v/>
      </c>
      <c r="G66" s="77"/>
      <c r="H66" s="97" t="str">
        <f t="shared" si="7"/>
        <v/>
      </c>
      <c r="I66" s="95">
        <f t="shared" si="8"/>
        <v>0</v>
      </c>
      <c r="J66" s="104">
        <f t="shared" si="9"/>
        <v>0</v>
      </c>
      <c r="K66" s="104">
        <f t="shared" si="10"/>
        <v>0</v>
      </c>
      <c r="L66" s="104">
        <f t="shared" si="11"/>
        <v>0</v>
      </c>
      <c r="M66" s="77"/>
    </row>
    <row r="67" spans="1:13" ht="15" customHeight="1" x14ac:dyDescent="0.25">
      <c r="A67" s="77"/>
      <c r="B67" s="77"/>
      <c r="C67" s="77"/>
      <c r="D67" s="77"/>
      <c r="E67" s="77"/>
      <c r="F67" s="148" t="str">
        <f t="shared" ref="F67:F98" si="12">IFERROR(VLOOKUP(E67,Materials_Table,2,FALSE()),IFERROR(VLOOKUP(E67,Hardware_Table,2,FALSE()),""))</f>
        <v/>
      </c>
      <c r="G67" s="77"/>
      <c r="H67" s="97" t="str">
        <f t="shared" ref="H67:H98" si="13">IFERROR(VLOOKUP(E67,Materials_Table,5,FALSE()),IFERROR(VLOOKUP(E67,Hardware_Table,5,FALSE()),""))</f>
        <v/>
      </c>
      <c r="I67" s="95">
        <f t="shared" ref="I67:I98" si="14">IFERROR(VLOOKUP(E67,Materials_Table,6,FALSE()),IFERROR(VLOOKUP(E67,Hardware_Table,6,FALSE()),0))</f>
        <v>0</v>
      </c>
      <c r="J67" s="104">
        <f t="shared" ref="J67:J98" si="15">G67*I67</f>
        <v>0</v>
      </c>
      <c r="K67" s="104">
        <f t="shared" ref="K67:K98" si="16">J67*VAT_Rate</f>
        <v>0</v>
      </c>
      <c r="L67" s="104">
        <f t="shared" ref="L67:L98" si="17">J67+K67</f>
        <v>0</v>
      </c>
      <c r="M67" s="77"/>
    </row>
    <row r="68" spans="1:13" ht="15" customHeight="1" x14ac:dyDescent="0.25">
      <c r="A68" s="77"/>
      <c r="B68" s="77"/>
      <c r="C68" s="77"/>
      <c r="D68" s="77"/>
      <c r="E68" s="77"/>
      <c r="F68" s="148" t="str">
        <f t="shared" si="12"/>
        <v/>
      </c>
      <c r="G68" s="77"/>
      <c r="H68" s="97" t="str">
        <f t="shared" si="13"/>
        <v/>
      </c>
      <c r="I68" s="95">
        <f t="shared" si="14"/>
        <v>0</v>
      </c>
      <c r="J68" s="104">
        <f t="shared" si="15"/>
        <v>0</v>
      </c>
      <c r="K68" s="104">
        <f t="shared" si="16"/>
        <v>0</v>
      </c>
      <c r="L68" s="104">
        <f t="shared" si="17"/>
        <v>0</v>
      </c>
      <c r="M68" s="77"/>
    </row>
    <row r="69" spans="1:13" ht="15" customHeight="1" x14ac:dyDescent="0.25">
      <c r="A69" s="77"/>
      <c r="B69" s="77"/>
      <c r="C69" s="77"/>
      <c r="D69" s="77"/>
      <c r="E69" s="77"/>
      <c r="F69" s="148" t="str">
        <f t="shared" si="12"/>
        <v/>
      </c>
      <c r="G69" s="77"/>
      <c r="H69" s="97" t="str">
        <f t="shared" si="13"/>
        <v/>
      </c>
      <c r="I69" s="95">
        <f t="shared" si="14"/>
        <v>0</v>
      </c>
      <c r="J69" s="104">
        <f t="shared" si="15"/>
        <v>0</v>
      </c>
      <c r="K69" s="104">
        <f t="shared" si="16"/>
        <v>0</v>
      </c>
      <c r="L69" s="104">
        <f t="shared" si="17"/>
        <v>0</v>
      </c>
      <c r="M69" s="77"/>
    </row>
    <row r="70" spans="1:13" ht="15" customHeight="1" x14ac:dyDescent="0.25">
      <c r="A70" s="77"/>
      <c r="B70" s="77"/>
      <c r="C70" s="77"/>
      <c r="D70" s="77"/>
      <c r="E70" s="77"/>
      <c r="F70" s="148" t="str">
        <f t="shared" si="12"/>
        <v/>
      </c>
      <c r="G70" s="77"/>
      <c r="H70" s="97" t="str">
        <f t="shared" si="13"/>
        <v/>
      </c>
      <c r="I70" s="95">
        <f t="shared" si="14"/>
        <v>0</v>
      </c>
      <c r="J70" s="104">
        <f t="shared" si="15"/>
        <v>0</v>
      </c>
      <c r="K70" s="104">
        <f t="shared" si="16"/>
        <v>0</v>
      </c>
      <c r="L70" s="104">
        <f t="shared" si="17"/>
        <v>0</v>
      </c>
      <c r="M70" s="77"/>
    </row>
    <row r="71" spans="1:13" ht="15" customHeight="1" x14ac:dyDescent="0.25">
      <c r="A71" s="77"/>
      <c r="B71" s="77"/>
      <c r="C71" s="77"/>
      <c r="D71" s="77"/>
      <c r="E71" s="77"/>
      <c r="F71" s="148" t="str">
        <f t="shared" si="12"/>
        <v/>
      </c>
      <c r="G71" s="77"/>
      <c r="H71" s="97" t="str">
        <f t="shared" si="13"/>
        <v/>
      </c>
      <c r="I71" s="95">
        <f t="shared" si="14"/>
        <v>0</v>
      </c>
      <c r="J71" s="104">
        <f t="shared" si="15"/>
        <v>0</v>
      </c>
      <c r="K71" s="104">
        <f t="shared" si="16"/>
        <v>0</v>
      </c>
      <c r="L71" s="104">
        <f t="shared" si="17"/>
        <v>0</v>
      </c>
      <c r="M71" s="77"/>
    </row>
    <row r="72" spans="1:13" ht="15" customHeight="1" x14ac:dyDescent="0.25">
      <c r="A72" s="77"/>
      <c r="B72" s="77"/>
      <c r="C72" s="77"/>
      <c r="D72" s="77"/>
      <c r="E72" s="77"/>
      <c r="F72" s="148" t="str">
        <f t="shared" si="12"/>
        <v/>
      </c>
      <c r="G72" s="77"/>
      <c r="H72" s="97" t="str">
        <f t="shared" si="13"/>
        <v/>
      </c>
      <c r="I72" s="95">
        <f t="shared" si="14"/>
        <v>0</v>
      </c>
      <c r="J72" s="104">
        <f t="shared" si="15"/>
        <v>0</v>
      </c>
      <c r="K72" s="104">
        <f t="shared" si="16"/>
        <v>0</v>
      </c>
      <c r="L72" s="104">
        <f t="shared" si="17"/>
        <v>0</v>
      </c>
      <c r="M72" s="77"/>
    </row>
    <row r="73" spans="1:13" ht="15" customHeight="1" x14ac:dyDescent="0.25">
      <c r="A73" s="77"/>
      <c r="B73" s="77"/>
      <c r="C73" s="77"/>
      <c r="D73" s="77"/>
      <c r="E73" s="77"/>
      <c r="F73" s="148" t="str">
        <f t="shared" si="12"/>
        <v/>
      </c>
      <c r="G73" s="77"/>
      <c r="H73" s="97" t="str">
        <f t="shared" si="13"/>
        <v/>
      </c>
      <c r="I73" s="95">
        <f t="shared" si="14"/>
        <v>0</v>
      </c>
      <c r="J73" s="104">
        <f t="shared" si="15"/>
        <v>0</v>
      </c>
      <c r="K73" s="104">
        <f t="shared" si="16"/>
        <v>0</v>
      </c>
      <c r="L73" s="104">
        <f t="shared" si="17"/>
        <v>0</v>
      </c>
      <c r="M73" s="77"/>
    </row>
    <row r="74" spans="1:13" ht="15" customHeight="1" x14ac:dyDescent="0.25">
      <c r="A74" s="77"/>
      <c r="B74" s="77"/>
      <c r="C74" s="77"/>
      <c r="D74" s="77"/>
      <c r="E74" s="77"/>
      <c r="F74" s="148" t="str">
        <f t="shared" si="12"/>
        <v/>
      </c>
      <c r="G74" s="77"/>
      <c r="H74" s="97" t="str">
        <f t="shared" si="13"/>
        <v/>
      </c>
      <c r="I74" s="95">
        <f t="shared" si="14"/>
        <v>0</v>
      </c>
      <c r="J74" s="104">
        <f t="shared" si="15"/>
        <v>0</v>
      </c>
      <c r="K74" s="104">
        <f t="shared" si="16"/>
        <v>0</v>
      </c>
      <c r="L74" s="104">
        <f t="shared" si="17"/>
        <v>0</v>
      </c>
      <c r="M74" s="77"/>
    </row>
    <row r="75" spans="1:13" ht="15" customHeight="1" x14ac:dyDescent="0.25">
      <c r="A75" s="77"/>
      <c r="B75" s="77"/>
      <c r="C75" s="77"/>
      <c r="D75" s="77"/>
      <c r="E75" s="77"/>
      <c r="F75" s="148" t="str">
        <f t="shared" si="12"/>
        <v/>
      </c>
      <c r="G75" s="77"/>
      <c r="H75" s="97" t="str">
        <f t="shared" si="13"/>
        <v/>
      </c>
      <c r="I75" s="95">
        <f t="shared" si="14"/>
        <v>0</v>
      </c>
      <c r="J75" s="104">
        <f t="shared" si="15"/>
        <v>0</v>
      </c>
      <c r="K75" s="104">
        <f t="shared" si="16"/>
        <v>0</v>
      </c>
      <c r="L75" s="104">
        <f t="shared" si="17"/>
        <v>0</v>
      </c>
      <c r="M75" s="77"/>
    </row>
    <row r="76" spans="1:13" ht="15" customHeight="1" x14ac:dyDescent="0.25">
      <c r="A76" s="77"/>
      <c r="B76" s="77"/>
      <c r="C76" s="77"/>
      <c r="D76" s="77"/>
      <c r="E76" s="77"/>
      <c r="F76" s="148" t="str">
        <f t="shared" si="12"/>
        <v/>
      </c>
      <c r="G76" s="77"/>
      <c r="H76" s="97" t="str">
        <f t="shared" si="13"/>
        <v/>
      </c>
      <c r="I76" s="95">
        <f t="shared" si="14"/>
        <v>0</v>
      </c>
      <c r="J76" s="104">
        <f t="shared" si="15"/>
        <v>0</v>
      </c>
      <c r="K76" s="104">
        <f t="shared" si="16"/>
        <v>0</v>
      </c>
      <c r="L76" s="104">
        <f t="shared" si="17"/>
        <v>0</v>
      </c>
      <c r="M76" s="77"/>
    </row>
    <row r="77" spans="1:13" ht="15" customHeight="1" x14ac:dyDescent="0.25">
      <c r="A77" s="77"/>
      <c r="B77" s="77"/>
      <c r="C77" s="77"/>
      <c r="D77" s="77"/>
      <c r="E77" s="77"/>
      <c r="F77" s="148" t="str">
        <f t="shared" si="12"/>
        <v/>
      </c>
      <c r="G77" s="77"/>
      <c r="H77" s="97" t="str">
        <f t="shared" si="13"/>
        <v/>
      </c>
      <c r="I77" s="95">
        <f t="shared" si="14"/>
        <v>0</v>
      </c>
      <c r="J77" s="104">
        <f t="shared" si="15"/>
        <v>0</v>
      </c>
      <c r="K77" s="104">
        <f t="shared" si="16"/>
        <v>0</v>
      </c>
      <c r="L77" s="104">
        <f t="shared" si="17"/>
        <v>0</v>
      </c>
      <c r="M77" s="77"/>
    </row>
    <row r="78" spans="1:13" ht="15" customHeight="1" x14ac:dyDescent="0.25">
      <c r="A78" s="77"/>
      <c r="B78" s="77"/>
      <c r="C78" s="77"/>
      <c r="D78" s="77"/>
      <c r="E78" s="77"/>
      <c r="F78" s="148" t="str">
        <f t="shared" si="12"/>
        <v/>
      </c>
      <c r="G78" s="77"/>
      <c r="H78" s="97" t="str">
        <f t="shared" si="13"/>
        <v/>
      </c>
      <c r="I78" s="95">
        <f t="shared" si="14"/>
        <v>0</v>
      </c>
      <c r="J78" s="104">
        <f t="shared" si="15"/>
        <v>0</v>
      </c>
      <c r="K78" s="104">
        <f t="shared" si="16"/>
        <v>0</v>
      </c>
      <c r="L78" s="104">
        <f t="shared" si="17"/>
        <v>0</v>
      </c>
      <c r="M78" s="77"/>
    </row>
    <row r="79" spans="1:13" ht="15" customHeight="1" x14ac:dyDescent="0.25">
      <c r="A79" s="77"/>
      <c r="B79" s="77"/>
      <c r="C79" s="77"/>
      <c r="D79" s="77"/>
      <c r="E79" s="77"/>
      <c r="F79" s="148" t="str">
        <f t="shared" si="12"/>
        <v/>
      </c>
      <c r="G79" s="77"/>
      <c r="H79" s="97" t="str">
        <f t="shared" si="13"/>
        <v/>
      </c>
      <c r="I79" s="95">
        <f t="shared" si="14"/>
        <v>0</v>
      </c>
      <c r="J79" s="104">
        <f t="shared" si="15"/>
        <v>0</v>
      </c>
      <c r="K79" s="104">
        <f t="shared" si="16"/>
        <v>0</v>
      </c>
      <c r="L79" s="104">
        <f t="shared" si="17"/>
        <v>0</v>
      </c>
      <c r="M79" s="77"/>
    </row>
    <row r="80" spans="1:13" ht="15" customHeight="1" x14ac:dyDescent="0.25">
      <c r="A80" s="77"/>
      <c r="B80" s="77"/>
      <c r="C80" s="77"/>
      <c r="D80" s="77"/>
      <c r="E80" s="77"/>
      <c r="F80" s="148" t="str">
        <f t="shared" si="12"/>
        <v/>
      </c>
      <c r="G80" s="77"/>
      <c r="H80" s="97" t="str">
        <f t="shared" si="13"/>
        <v/>
      </c>
      <c r="I80" s="95">
        <f t="shared" si="14"/>
        <v>0</v>
      </c>
      <c r="J80" s="104">
        <f t="shared" si="15"/>
        <v>0</v>
      </c>
      <c r="K80" s="104">
        <f t="shared" si="16"/>
        <v>0</v>
      </c>
      <c r="L80" s="104">
        <f t="shared" si="17"/>
        <v>0</v>
      </c>
      <c r="M80" s="77"/>
    </row>
    <row r="81" spans="1:13" ht="15" customHeight="1" x14ac:dyDescent="0.25">
      <c r="A81" s="77"/>
      <c r="B81" s="77"/>
      <c r="C81" s="77"/>
      <c r="D81" s="77"/>
      <c r="E81" s="77"/>
      <c r="F81" s="148" t="str">
        <f t="shared" si="12"/>
        <v/>
      </c>
      <c r="G81" s="77"/>
      <c r="H81" s="97" t="str">
        <f t="shared" si="13"/>
        <v/>
      </c>
      <c r="I81" s="95">
        <f t="shared" si="14"/>
        <v>0</v>
      </c>
      <c r="J81" s="104">
        <f t="shared" si="15"/>
        <v>0</v>
      </c>
      <c r="K81" s="104">
        <f t="shared" si="16"/>
        <v>0</v>
      </c>
      <c r="L81" s="104">
        <f t="shared" si="17"/>
        <v>0</v>
      </c>
      <c r="M81" s="77"/>
    </row>
    <row r="82" spans="1:13" ht="15" customHeight="1" x14ac:dyDescent="0.25">
      <c r="A82" s="77"/>
      <c r="B82" s="77"/>
      <c r="C82" s="77"/>
      <c r="D82" s="77"/>
      <c r="E82" s="77"/>
      <c r="F82" s="148" t="str">
        <f t="shared" si="12"/>
        <v/>
      </c>
      <c r="G82" s="77"/>
      <c r="H82" s="97" t="str">
        <f t="shared" si="13"/>
        <v/>
      </c>
      <c r="I82" s="95">
        <f t="shared" si="14"/>
        <v>0</v>
      </c>
      <c r="J82" s="104">
        <f t="shared" si="15"/>
        <v>0</v>
      </c>
      <c r="K82" s="104">
        <f t="shared" si="16"/>
        <v>0</v>
      </c>
      <c r="L82" s="104">
        <f t="shared" si="17"/>
        <v>0</v>
      </c>
      <c r="M82" s="77"/>
    </row>
    <row r="83" spans="1:13" ht="15" customHeight="1" x14ac:dyDescent="0.25">
      <c r="A83" s="77"/>
      <c r="B83" s="77"/>
      <c r="C83" s="77"/>
      <c r="D83" s="77"/>
      <c r="E83" s="77"/>
      <c r="F83" s="148" t="str">
        <f t="shared" si="12"/>
        <v/>
      </c>
      <c r="G83" s="77"/>
      <c r="H83" s="97" t="str">
        <f t="shared" si="13"/>
        <v/>
      </c>
      <c r="I83" s="95">
        <f t="shared" si="14"/>
        <v>0</v>
      </c>
      <c r="J83" s="104">
        <f t="shared" si="15"/>
        <v>0</v>
      </c>
      <c r="K83" s="104">
        <f t="shared" si="16"/>
        <v>0</v>
      </c>
      <c r="L83" s="104">
        <f t="shared" si="17"/>
        <v>0</v>
      </c>
      <c r="M83" s="77"/>
    </row>
    <row r="84" spans="1:13" ht="15" customHeight="1" x14ac:dyDescent="0.25">
      <c r="A84" s="77"/>
      <c r="B84" s="77"/>
      <c r="C84" s="77"/>
      <c r="D84" s="77"/>
      <c r="E84" s="77"/>
      <c r="F84" s="148" t="str">
        <f t="shared" si="12"/>
        <v/>
      </c>
      <c r="G84" s="77"/>
      <c r="H84" s="97" t="str">
        <f t="shared" si="13"/>
        <v/>
      </c>
      <c r="I84" s="95">
        <f t="shared" si="14"/>
        <v>0</v>
      </c>
      <c r="J84" s="104">
        <f t="shared" si="15"/>
        <v>0</v>
      </c>
      <c r="K84" s="104">
        <f t="shared" si="16"/>
        <v>0</v>
      </c>
      <c r="L84" s="104">
        <f t="shared" si="17"/>
        <v>0</v>
      </c>
      <c r="M84" s="77"/>
    </row>
    <row r="85" spans="1:13" ht="15" customHeight="1" x14ac:dyDescent="0.25">
      <c r="A85" s="77"/>
      <c r="B85" s="77"/>
      <c r="C85" s="77"/>
      <c r="D85" s="77"/>
      <c r="E85" s="77"/>
      <c r="F85" s="148" t="str">
        <f t="shared" si="12"/>
        <v/>
      </c>
      <c r="G85" s="77"/>
      <c r="H85" s="97" t="str">
        <f t="shared" si="13"/>
        <v/>
      </c>
      <c r="I85" s="95">
        <f t="shared" si="14"/>
        <v>0</v>
      </c>
      <c r="J85" s="104">
        <f t="shared" si="15"/>
        <v>0</v>
      </c>
      <c r="K85" s="104">
        <f t="shared" si="16"/>
        <v>0</v>
      </c>
      <c r="L85" s="104">
        <f t="shared" si="17"/>
        <v>0</v>
      </c>
      <c r="M85" s="77"/>
    </row>
    <row r="86" spans="1:13" ht="15" customHeight="1" x14ac:dyDescent="0.25">
      <c r="A86" s="77"/>
      <c r="B86" s="77"/>
      <c r="C86" s="77"/>
      <c r="D86" s="77"/>
      <c r="E86" s="77"/>
      <c r="F86" s="148" t="str">
        <f t="shared" si="12"/>
        <v/>
      </c>
      <c r="G86" s="77"/>
      <c r="H86" s="97" t="str">
        <f t="shared" si="13"/>
        <v/>
      </c>
      <c r="I86" s="95">
        <f t="shared" si="14"/>
        <v>0</v>
      </c>
      <c r="J86" s="104">
        <f t="shared" si="15"/>
        <v>0</v>
      </c>
      <c r="K86" s="104">
        <f t="shared" si="16"/>
        <v>0</v>
      </c>
      <c r="L86" s="104">
        <f t="shared" si="17"/>
        <v>0</v>
      </c>
      <c r="M86" s="77"/>
    </row>
    <row r="87" spans="1:13" ht="15" customHeight="1" x14ac:dyDescent="0.25">
      <c r="A87" s="77"/>
      <c r="B87" s="77"/>
      <c r="C87" s="77"/>
      <c r="D87" s="77"/>
      <c r="E87" s="77"/>
      <c r="F87" s="148" t="str">
        <f t="shared" si="12"/>
        <v/>
      </c>
      <c r="G87" s="77"/>
      <c r="H87" s="97" t="str">
        <f t="shared" si="13"/>
        <v/>
      </c>
      <c r="I87" s="95">
        <f t="shared" si="14"/>
        <v>0</v>
      </c>
      <c r="J87" s="104">
        <f t="shared" si="15"/>
        <v>0</v>
      </c>
      <c r="K87" s="104">
        <f t="shared" si="16"/>
        <v>0</v>
      </c>
      <c r="L87" s="104">
        <f t="shared" si="17"/>
        <v>0</v>
      </c>
      <c r="M87" s="77"/>
    </row>
    <row r="88" spans="1:13" ht="15" customHeight="1" x14ac:dyDescent="0.25">
      <c r="A88" s="77"/>
      <c r="B88" s="77"/>
      <c r="C88" s="77"/>
      <c r="D88" s="77"/>
      <c r="E88" s="77"/>
      <c r="F88" s="148" t="str">
        <f t="shared" si="12"/>
        <v/>
      </c>
      <c r="G88" s="77"/>
      <c r="H88" s="97" t="str">
        <f t="shared" si="13"/>
        <v/>
      </c>
      <c r="I88" s="95">
        <f t="shared" si="14"/>
        <v>0</v>
      </c>
      <c r="J88" s="104">
        <f t="shared" si="15"/>
        <v>0</v>
      </c>
      <c r="K88" s="104">
        <f t="shared" si="16"/>
        <v>0</v>
      </c>
      <c r="L88" s="104">
        <f t="shared" si="17"/>
        <v>0</v>
      </c>
      <c r="M88" s="77"/>
    </row>
    <row r="89" spans="1:13" ht="15" customHeight="1" x14ac:dyDescent="0.25">
      <c r="A89" s="77"/>
      <c r="B89" s="77"/>
      <c r="C89" s="77"/>
      <c r="D89" s="77"/>
      <c r="E89" s="77"/>
      <c r="F89" s="148" t="str">
        <f t="shared" si="12"/>
        <v/>
      </c>
      <c r="G89" s="77"/>
      <c r="H89" s="97" t="str">
        <f t="shared" si="13"/>
        <v/>
      </c>
      <c r="I89" s="95">
        <f t="shared" si="14"/>
        <v>0</v>
      </c>
      <c r="J89" s="104">
        <f t="shared" si="15"/>
        <v>0</v>
      </c>
      <c r="K89" s="104">
        <f t="shared" si="16"/>
        <v>0</v>
      </c>
      <c r="L89" s="104">
        <f t="shared" si="17"/>
        <v>0</v>
      </c>
      <c r="M89" s="77"/>
    </row>
    <row r="90" spans="1:13" ht="15" customHeight="1" x14ac:dyDescent="0.25">
      <c r="A90" s="77"/>
      <c r="B90" s="77"/>
      <c r="C90" s="77"/>
      <c r="D90" s="77"/>
      <c r="E90" s="77"/>
      <c r="F90" s="148" t="str">
        <f t="shared" si="12"/>
        <v/>
      </c>
      <c r="G90" s="77"/>
      <c r="H90" s="97" t="str">
        <f t="shared" si="13"/>
        <v/>
      </c>
      <c r="I90" s="95">
        <f t="shared" si="14"/>
        <v>0</v>
      </c>
      <c r="J90" s="104">
        <f t="shared" si="15"/>
        <v>0</v>
      </c>
      <c r="K90" s="104">
        <f t="shared" si="16"/>
        <v>0</v>
      </c>
      <c r="L90" s="104">
        <f t="shared" si="17"/>
        <v>0</v>
      </c>
      <c r="M90" s="77"/>
    </row>
    <row r="91" spans="1:13" ht="15" customHeight="1" x14ac:dyDescent="0.25">
      <c r="A91" s="77"/>
      <c r="B91" s="77"/>
      <c r="C91" s="77"/>
      <c r="D91" s="77"/>
      <c r="E91" s="77"/>
      <c r="F91" s="148" t="str">
        <f t="shared" si="12"/>
        <v/>
      </c>
      <c r="G91" s="77"/>
      <c r="H91" s="97" t="str">
        <f t="shared" si="13"/>
        <v/>
      </c>
      <c r="I91" s="95">
        <f t="shared" si="14"/>
        <v>0</v>
      </c>
      <c r="J91" s="104">
        <f t="shared" si="15"/>
        <v>0</v>
      </c>
      <c r="K91" s="104">
        <f t="shared" si="16"/>
        <v>0</v>
      </c>
      <c r="L91" s="104">
        <f t="shared" si="17"/>
        <v>0</v>
      </c>
      <c r="M91" s="77"/>
    </row>
    <row r="92" spans="1:13" ht="15" customHeight="1" x14ac:dyDescent="0.25">
      <c r="A92" s="77"/>
      <c r="B92" s="77"/>
      <c r="C92" s="77"/>
      <c r="D92" s="77"/>
      <c r="E92" s="77"/>
      <c r="F92" s="148" t="str">
        <f t="shared" si="12"/>
        <v/>
      </c>
      <c r="G92" s="77"/>
      <c r="H92" s="97" t="str">
        <f t="shared" si="13"/>
        <v/>
      </c>
      <c r="I92" s="95">
        <f t="shared" si="14"/>
        <v>0</v>
      </c>
      <c r="J92" s="104">
        <f t="shared" si="15"/>
        <v>0</v>
      </c>
      <c r="K92" s="104">
        <f t="shared" si="16"/>
        <v>0</v>
      </c>
      <c r="L92" s="104">
        <f t="shared" si="17"/>
        <v>0</v>
      </c>
      <c r="M92" s="77"/>
    </row>
    <row r="93" spans="1:13" ht="15" customHeight="1" x14ac:dyDescent="0.25">
      <c r="A93" s="77"/>
      <c r="B93" s="77"/>
      <c r="C93" s="77"/>
      <c r="D93" s="77"/>
      <c r="E93" s="77"/>
      <c r="F93" s="148" t="str">
        <f t="shared" si="12"/>
        <v/>
      </c>
      <c r="G93" s="77"/>
      <c r="H93" s="97" t="str">
        <f t="shared" si="13"/>
        <v/>
      </c>
      <c r="I93" s="95">
        <f t="shared" si="14"/>
        <v>0</v>
      </c>
      <c r="J93" s="104">
        <f t="shared" si="15"/>
        <v>0</v>
      </c>
      <c r="K93" s="104">
        <f t="shared" si="16"/>
        <v>0</v>
      </c>
      <c r="L93" s="104">
        <f t="shared" si="17"/>
        <v>0</v>
      </c>
      <c r="M93" s="77"/>
    </row>
    <row r="94" spans="1:13" ht="15" customHeight="1" x14ac:dyDescent="0.25">
      <c r="A94" s="77"/>
      <c r="B94" s="77"/>
      <c r="C94" s="77"/>
      <c r="D94" s="77"/>
      <c r="E94" s="77"/>
      <c r="F94" s="148" t="str">
        <f t="shared" si="12"/>
        <v/>
      </c>
      <c r="G94" s="77"/>
      <c r="H94" s="97" t="str">
        <f t="shared" si="13"/>
        <v/>
      </c>
      <c r="I94" s="95">
        <f t="shared" si="14"/>
        <v>0</v>
      </c>
      <c r="J94" s="104">
        <f t="shared" si="15"/>
        <v>0</v>
      </c>
      <c r="K94" s="104">
        <f t="shared" si="16"/>
        <v>0</v>
      </c>
      <c r="L94" s="104">
        <f t="shared" si="17"/>
        <v>0</v>
      </c>
      <c r="M94" s="77"/>
    </row>
    <row r="95" spans="1:13" ht="15" customHeight="1" x14ac:dyDescent="0.25">
      <c r="A95" s="77"/>
      <c r="B95" s="77"/>
      <c r="C95" s="77"/>
      <c r="D95" s="77"/>
      <c r="E95" s="77"/>
      <c r="F95" s="148" t="str">
        <f t="shared" si="12"/>
        <v/>
      </c>
      <c r="G95" s="77"/>
      <c r="H95" s="97" t="str">
        <f t="shared" si="13"/>
        <v/>
      </c>
      <c r="I95" s="95">
        <f t="shared" si="14"/>
        <v>0</v>
      </c>
      <c r="J95" s="104">
        <f t="shared" si="15"/>
        <v>0</v>
      </c>
      <c r="K95" s="104">
        <f t="shared" si="16"/>
        <v>0</v>
      </c>
      <c r="L95" s="104">
        <f t="shared" si="17"/>
        <v>0</v>
      </c>
      <c r="M95" s="77"/>
    </row>
    <row r="96" spans="1:13" ht="15" customHeight="1" x14ac:dyDescent="0.25">
      <c r="A96" s="77"/>
      <c r="B96" s="77"/>
      <c r="C96" s="77"/>
      <c r="D96" s="77"/>
      <c r="E96" s="77"/>
      <c r="F96" s="148" t="str">
        <f t="shared" si="12"/>
        <v/>
      </c>
      <c r="G96" s="77"/>
      <c r="H96" s="97" t="str">
        <f t="shared" si="13"/>
        <v/>
      </c>
      <c r="I96" s="95">
        <f t="shared" si="14"/>
        <v>0</v>
      </c>
      <c r="J96" s="104">
        <f t="shared" si="15"/>
        <v>0</v>
      </c>
      <c r="K96" s="104">
        <f t="shared" si="16"/>
        <v>0</v>
      </c>
      <c r="L96" s="104">
        <f t="shared" si="17"/>
        <v>0</v>
      </c>
      <c r="M96" s="77"/>
    </row>
    <row r="97" spans="1:13" ht="15" customHeight="1" x14ac:dyDescent="0.25">
      <c r="A97" s="77"/>
      <c r="B97" s="77"/>
      <c r="C97" s="77"/>
      <c r="D97" s="77"/>
      <c r="E97" s="77"/>
      <c r="F97" s="148" t="str">
        <f t="shared" si="12"/>
        <v/>
      </c>
      <c r="G97" s="77"/>
      <c r="H97" s="97" t="str">
        <f t="shared" si="13"/>
        <v/>
      </c>
      <c r="I97" s="95">
        <f t="shared" si="14"/>
        <v>0</v>
      </c>
      <c r="J97" s="104">
        <f t="shared" si="15"/>
        <v>0</v>
      </c>
      <c r="K97" s="104">
        <f t="shared" si="16"/>
        <v>0</v>
      </c>
      <c r="L97" s="104">
        <f t="shared" si="17"/>
        <v>0</v>
      </c>
      <c r="M97" s="77"/>
    </row>
    <row r="98" spans="1:13" ht="15" customHeight="1" x14ac:dyDescent="0.25">
      <c r="A98" s="77"/>
      <c r="B98" s="77"/>
      <c r="C98" s="77"/>
      <c r="D98" s="77"/>
      <c r="E98" s="77"/>
      <c r="F98" s="148" t="str">
        <f t="shared" si="12"/>
        <v/>
      </c>
      <c r="G98" s="77"/>
      <c r="H98" s="97" t="str">
        <f t="shared" si="13"/>
        <v/>
      </c>
      <c r="I98" s="95">
        <f t="shared" si="14"/>
        <v>0</v>
      </c>
      <c r="J98" s="104">
        <f t="shared" si="15"/>
        <v>0</v>
      </c>
      <c r="K98" s="104">
        <f t="shared" si="16"/>
        <v>0</v>
      </c>
      <c r="L98" s="104">
        <f t="shared" si="17"/>
        <v>0</v>
      </c>
      <c r="M98" s="77"/>
    </row>
    <row r="99" spans="1:13" ht="15" customHeight="1" x14ac:dyDescent="0.25">
      <c r="A99" s="77"/>
      <c r="B99" s="77"/>
      <c r="C99" s="77"/>
      <c r="D99" s="77"/>
      <c r="E99" s="77"/>
      <c r="F99" s="148" t="str">
        <f t="shared" ref="F99:F130" si="18">IFERROR(VLOOKUP(E99,Materials_Table,2,FALSE()),IFERROR(VLOOKUP(E99,Hardware_Table,2,FALSE()),""))</f>
        <v/>
      </c>
      <c r="G99" s="77"/>
      <c r="H99" s="97" t="str">
        <f t="shared" ref="H99:H130" si="19">IFERROR(VLOOKUP(E99,Materials_Table,5,FALSE()),IFERROR(VLOOKUP(E99,Hardware_Table,5,FALSE()),""))</f>
        <v/>
      </c>
      <c r="I99" s="95">
        <f t="shared" ref="I99:I130" si="20">IFERROR(VLOOKUP(E99,Materials_Table,6,FALSE()),IFERROR(VLOOKUP(E99,Hardware_Table,6,FALSE()),0))</f>
        <v>0</v>
      </c>
      <c r="J99" s="104">
        <f t="shared" ref="J99:J130" si="21">G99*I99</f>
        <v>0</v>
      </c>
      <c r="K99" s="104">
        <f t="shared" ref="K99:K130" si="22">J99*VAT_Rate</f>
        <v>0</v>
      </c>
      <c r="L99" s="104">
        <f t="shared" ref="L99:L130" si="23">J99+K99</f>
        <v>0</v>
      </c>
      <c r="M99" s="77"/>
    </row>
    <row r="100" spans="1:13" ht="15" customHeight="1" x14ac:dyDescent="0.25">
      <c r="A100" s="77"/>
      <c r="B100" s="77"/>
      <c r="C100" s="77"/>
      <c r="D100" s="77"/>
      <c r="E100" s="77"/>
      <c r="F100" s="148" t="str">
        <f t="shared" si="18"/>
        <v/>
      </c>
      <c r="G100" s="77"/>
      <c r="H100" s="97" t="str">
        <f t="shared" si="19"/>
        <v/>
      </c>
      <c r="I100" s="95">
        <f t="shared" si="20"/>
        <v>0</v>
      </c>
      <c r="J100" s="104">
        <f t="shared" si="21"/>
        <v>0</v>
      </c>
      <c r="K100" s="104">
        <f t="shared" si="22"/>
        <v>0</v>
      </c>
      <c r="L100" s="104">
        <f t="shared" si="23"/>
        <v>0</v>
      </c>
      <c r="M100" s="77"/>
    </row>
    <row r="101" spans="1:13" ht="15" customHeight="1" x14ac:dyDescent="0.25">
      <c r="A101" s="77"/>
      <c r="B101" s="77"/>
      <c r="C101" s="77"/>
      <c r="D101" s="77"/>
      <c r="E101" s="77"/>
      <c r="F101" s="148" t="str">
        <f t="shared" si="18"/>
        <v/>
      </c>
      <c r="G101" s="77"/>
      <c r="H101" s="97" t="str">
        <f t="shared" si="19"/>
        <v/>
      </c>
      <c r="I101" s="95">
        <f t="shared" si="20"/>
        <v>0</v>
      </c>
      <c r="J101" s="104">
        <f t="shared" si="21"/>
        <v>0</v>
      </c>
      <c r="K101" s="104">
        <f t="shared" si="22"/>
        <v>0</v>
      </c>
      <c r="L101" s="104">
        <f t="shared" si="23"/>
        <v>0</v>
      </c>
      <c r="M101" s="77"/>
    </row>
    <row r="102" spans="1:13" ht="15" customHeight="1" x14ac:dyDescent="0.25">
      <c r="A102" s="77"/>
      <c r="B102" s="77"/>
      <c r="C102" s="77"/>
      <c r="D102" s="77"/>
      <c r="E102" s="77"/>
      <c r="F102" s="148" t="str">
        <f t="shared" si="18"/>
        <v/>
      </c>
      <c r="G102" s="77"/>
      <c r="H102" s="97" t="str">
        <f t="shared" si="19"/>
        <v/>
      </c>
      <c r="I102" s="95">
        <f t="shared" si="20"/>
        <v>0</v>
      </c>
      <c r="J102" s="104">
        <f t="shared" si="21"/>
        <v>0</v>
      </c>
      <c r="K102" s="104">
        <f t="shared" si="22"/>
        <v>0</v>
      </c>
      <c r="L102" s="104">
        <f t="shared" si="23"/>
        <v>0</v>
      </c>
      <c r="M102" s="77"/>
    </row>
    <row r="103" spans="1:13" ht="15" customHeight="1" x14ac:dyDescent="0.25">
      <c r="A103" s="77"/>
      <c r="B103" s="77"/>
      <c r="C103" s="77"/>
      <c r="D103" s="77"/>
      <c r="E103" s="77"/>
      <c r="F103" s="148" t="str">
        <f t="shared" si="18"/>
        <v/>
      </c>
      <c r="G103" s="77"/>
      <c r="H103" s="97" t="str">
        <f t="shared" si="19"/>
        <v/>
      </c>
      <c r="I103" s="95">
        <f t="shared" si="20"/>
        <v>0</v>
      </c>
      <c r="J103" s="104">
        <f t="shared" si="21"/>
        <v>0</v>
      </c>
      <c r="K103" s="104">
        <f t="shared" si="22"/>
        <v>0</v>
      </c>
      <c r="L103" s="104">
        <f t="shared" si="23"/>
        <v>0</v>
      </c>
      <c r="M103" s="77"/>
    </row>
    <row r="104" spans="1:13" ht="15" customHeight="1" x14ac:dyDescent="0.25">
      <c r="A104" s="77"/>
      <c r="B104" s="77"/>
      <c r="C104" s="77"/>
      <c r="D104" s="77"/>
      <c r="E104" s="77"/>
      <c r="F104" s="148" t="str">
        <f t="shared" si="18"/>
        <v/>
      </c>
      <c r="G104" s="77"/>
      <c r="H104" s="97" t="str">
        <f t="shared" si="19"/>
        <v/>
      </c>
      <c r="I104" s="95">
        <f t="shared" si="20"/>
        <v>0</v>
      </c>
      <c r="J104" s="104">
        <f t="shared" si="21"/>
        <v>0</v>
      </c>
      <c r="K104" s="104">
        <f t="shared" si="22"/>
        <v>0</v>
      </c>
      <c r="L104" s="104">
        <f t="shared" si="23"/>
        <v>0</v>
      </c>
      <c r="M104" s="77"/>
    </row>
    <row r="105" spans="1:13" ht="15" customHeight="1" x14ac:dyDescent="0.25">
      <c r="A105" s="77"/>
      <c r="B105" s="77"/>
      <c r="C105" s="77"/>
      <c r="D105" s="77"/>
      <c r="E105" s="77"/>
      <c r="F105" s="148" t="str">
        <f t="shared" si="18"/>
        <v/>
      </c>
      <c r="G105" s="77"/>
      <c r="H105" s="97" t="str">
        <f t="shared" si="19"/>
        <v/>
      </c>
      <c r="I105" s="95">
        <f t="shared" si="20"/>
        <v>0</v>
      </c>
      <c r="J105" s="104">
        <f t="shared" si="21"/>
        <v>0</v>
      </c>
      <c r="K105" s="104">
        <f t="shared" si="22"/>
        <v>0</v>
      </c>
      <c r="L105" s="104">
        <f t="shared" si="23"/>
        <v>0</v>
      </c>
      <c r="M105" s="77"/>
    </row>
    <row r="106" spans="1:13" ht="15" customHeight="1" x14ac:dyDescent="0.25">
      <c r="A106" s="77"/>
      <c r="B106" s="77"/>
      <c r="C106" s="77"/>
      <c r="D106" s="77"/>
      <c r="E106" s="77"/>
      <c r="F106" s="148" t="str">
        <f t="shared" si="18"/>
        <v/>
      </c>
      <c r="G106" s="77"/>
      <c r="H106" s="97" t="str">
        <f t="shared" si="19"/>
        <v/>
      </c>
      <c r="I106" s="95">
        <f t="shared" si="20"/>
        <v>0</v>
      </c>
      <c r="J106" s="104">
        <f t="shared" si="21"/>
        <v>0</v>
      </c>
      <c r="K106" s="104">
        <f t="shared" si="22"/>
        <v>0</v>
      </c>
      <c r="L106" s="104">
        <f t="shared" si="23"/>
        <v>0</v>
      </c>
      <c r="M106" s="77"/>
    </row>
    <row r="107" spans="1:13" ht="15" customHeight="1" x14ac:dyDescent="0.25">
      <c r="A107" s="77"/>
      <c r="B107" s="77"/>
      <c r="C107" s="77"/>
      <c r="D107" s="77"/>
      <c r="E107" s="77"/>
      <c r="F107" s="148" t="str">
        <f t="shared" si="18"/>
        <v/>
      </c>
      <c r="G107" s="77"/>
      <c r="H107" s="97" t="str">
        <f t="shared" si="19"/>
        <v/>
      </c>
      <c r="I107" s="95">
        <f t="shared" si="20"/>
        <v>0</v>
      </c>
      <c r="J107" s="104">
        <f t="shared" si="21"/>
        <v>0</v>
      </c>
      <c r="K107" s="104">
        <f t="shared" si="22"/>
        <v>0</v>
      </c>
      <c r="L107" s="104">
        <f t="shared" si="23"/>
        <v>0</v>
      </c>
      <c r="M107" s="77"/>
    </row>
    <row r="108" spans="1:13" ht="15" customHeight="1" x14ac:dyDescent="0.25">
      <c r="A108" s="77"/>
      <c r="B108" s="77"/>
      <c r="C108" s="77"/>
      <c r="D108" s="77"/>
      <c r="E108" s="77"/>
      <c r="F108" s="148" t="str">
        <f t="shared" si="18"/>
        <v/>
      </c>
      <c r="G108" s="77"/>
      <c r="H108" s="97" t="str">
        <f t="shared" si="19"/>
        <v/>
      </c>
      <c r="I108" s="95">
        <f t="shared" si="20"/>
        <v>0</v>
      </c>
      <c r="J108" s="104">
        <f t="shared" si="21"/>
        <v>0</v>
      </c>
      <c r="K108" s="104">
        <f t="shared" si="22"/>
        <v>0</v>
      </c>
      <c r="L108" s="104">
        <f t="shared" si="23"/>
        <v>0</v>
      </c>
      <c r="M108" s="77"/>
    </row>
    <row r="109" spans="1:13" ht="15" customHeight="1" x14ac:dyDescent="0.25">
      <c r="A109" s="77"/>
      <c r="B109" s="77"/>
      <c r="C109" s="77"/>
      <c r="D109" s="77"/>
      <c r="E109" s="77"/>
      <c r="F109" s="148" t="str">
        <f t="shared" si="18"/>
        <v/>
      </c>
      <c r="G109" s="77"/>
      <c r="H109" s="97" t="str">
        <f t="shared" si="19"/>
        <v/>
      </c>
      <c r="I109" s="95">
        <f t="shared" si="20"/>
        <v>0</v>
      </c>
      <c r="J109" s="104">
        <f t="shared" si="21"/>
        <v>0</v>
      </c>
      <c r="K109" s="104">
        <f t="shared" si="22"/>
        <v>0</v>
      </c>
      <c r="L109" s="104">
        <f t="shared" si="23"/>
        <v>0</v>
      </c>
      <c r="M109" s="77"/>
    </row>
    <row r="110" spans="1:13" ht="15" customHeight="1" x14ac:dyDescent="0.25">
      <c r="A110" s="77"/>
      <c r="B110" s="77"/>
      <c r="C110" s="77"/>
      <c r="D110" s="77"/>
      <c r="E110" s="77"/>
      <c r="F110" s="148" t="str">
        <f t="shared" si="18"/>
        <v/>
      </c>
      <c r="G110" s="77"/>
      <c r="H110" s="97" t="str">
        <f t="shared" si="19"/>
        <v/>
      </c>
      <c r="I110" s="95">
        <f t="shared" si="20"/>
        <v>0</v>
      </c>
      <c r="J110" s="104">
        <f t="shared" si="21"/>
        <v>0</v>
      </c>
      <c r="K110" s="104">
        <f t="shared" si="22"/>
        <v>0</v>
      </c>
      <c r="L110" s="104">
        <f t="shared" si="23"/>
        <v>0</v>
      </c>
      <c r="M110" s="77"/>
    </row>
    <row r="111" spans="1:13" ht="15" customHeight="1" x14ac:dyDescent="0.25">
      <c r="A111" s="77"/>
      <c r="B111" s="77"/>
      <c r="C111" s="77"/>
      <c r="D111" s="77"/>
      <c r="E111" s="77"/>
      <c r="F111" s="148" t="str">
        <f t="shared" si="18"/>
        <v/>
      </c>
      <c r="G111" s="77"/>
      <c r="H111" s="97" t="str">
        <f t="shared" si="19"/>
        <v/>
      </c>
      <c r="I111" s="95">
        <f t="shared" si="20"/>
        <v>0</v>
      </c>
      <c r="J111" s="104">
        <f t="shared" si="21"/>
        <v>0</v>
      </c>
      <c r="K111" s="104">
        <f t="shared" si="22"/>
        <v>0</v>
      </c>
      <c r="L111" s="104">
        <f t="shared" si="23"/>
        <v>0</v>
      </c>
      <c r="M111" s="77"/>
    </row>
    <row r="112" spans="1:13" ht="15" customHeight="1" x14ac:dyDescent="0.25">
      <c r="A112" s="77"/>
      <c r="B112" s="77"/>
      <c r="C112" s="77"/>
      <c r="D112" s="77"/>
      <c r="E112" s="77"/>
      <c r="F112" s="148" t="str">
        <f t="shared" si="18"/>
        <v/>
      </c>
      <c r="G112" s="77"/>
      <c r="H112" s="97" t="str">
        <f t="shared" si="19"/>
        <v/>
      </c>
      <c r="I112" s="95">
        <f t="shared" si="20"/>
        <v>0</v>
      </c>
      <c r="J112" s="104">
        <f t="shared" si="21"/>
        <v>0</v>
      </c>
      <c r="K112" s="104">
        <f t="shared" si="22"/>
        <v>0</v>
      </c>
      <c r="L112" s="104">
        <f t="shared" si="23"/>
        <v>0</v>
      </c>
      <c r="M112" s="77"/>
    </row>
    <row r="113" spans="1:13" ht="15" customHeight="1" x14ac:dyDescent="0.25">
      <c r="A113" s="77"/>
      <c r="B113" s="77"/>
      <c r="C113" s="77"/>
      <c r="D113" s="77"/>
      <c r="E113" s="77"/>
      <c r="F113" s="148" t="str">
        <f t="shared" si="18"/>
        <v/>
      </c>
      <c r="G113" s="77"/>
      <c r="H113" s="97" t="str">
        <f t="shared" si="19"/>
        <v/>
      </c>
      <c r="I113" s="95">
        <f t="shared" si="20"/>
        <v>0</v>
      </c>
      <c r="J113" s="104">
        <f t="shared" si="21"/>
        <v>0</v>
      </c>
      <c r="K113" s="104">
        <f t="shared" si="22"/>
        <v>0</v>
      </c>
      <c r="L113" s="104">
        <f t="shared" si="23"/>
        <v>0</v>
      </c>
      <c r="M113" s="77"/>
    </row>
    <row r="114" spans="1:13" ht="15" customHeight="1" x14ac:dyDescent="0.25">
      <c r="A114" s="77"/>
      <c r="B114" s="77"/>
      <c r="C114" s="77"/>
      <c r="D114" s="77"/>
      <c r="E114" s="77"/>
      <c r="F114" s="148" t="str">
        <f t="shared" si="18"/>
        <v/>
      </c>
      <c r="G114" s="77"/>
      <c r="H114" s="97" t="str">
        <f t="shared" si="19"/>
        <v/>
      </c>
      <c r="I114" s="95">
        <f t="shared" si="20"/>
        <v>0</v>
      </c>
      <c r="J114" s="104">
        <f t="shared" si="21"/>
        <v>0</v>
      </c>
      <c r="K114" s="104">
        <f t="shared" si="22"/>
        <v>0</v>
      </c>
      <c r="L114" s="104">
        <f t="shared" si="23"/>
        <v>0</v>
      </c>
      <c r="M114" s="77"/>
    </row>
    <row r="115" spans="1:13" ht="15" customHeight="1" x14ac:dyDescent="0.25">
      <c r="A115" s="77"/>
      <c r="B115" s="77"/>
      <c r="C115" s="77"/>
      <c r="D115" s="77"/>
      <c r="E115" s="77"/>
      <c r="F115" s="148" t="str">
        <f t="shared" si="18"/>
        <v/>
      </c>
      <c r="G115" s="77"/>
      <c r="H115" s="97" t="str">
        <f t="shared" si="19"/>
        <v/>
      </c>
      <c r="I115" s="95">
        <f t="shared" si="20"/>
        <v>0</v>
      </c>
      <c r="J115" s="104">
        <f t="shared" si="21"/>
        <v>0</v>
      </c>
      <c r="K115" s="104">
        <f t="shared" si="22"/>
        <v>0</v>
      </c>
      <c r="L115" s="104">
        <f t="shared" si="23"/>
        <v>0</v>
      </c>
      <c r="M115" s="77"/>
    </row>
    <row r="116" spans="1:13" ht="15" customHeight="1" x14ac:dyDescent="0.25">
      <c r="A116" s="77"/>
      <c r="B116" s="77"/>
      <c r="C116" s="77"/>
      <c r="D116" s="77"/>
      <c r="E116" s="77"/>
      <c r="F116" s="148" t="str">
        <f t="shared" si="18"/>
        <v/>
      </c>
      <c r="G116" s="77"/>
      <c r="H116" s="97" t="str">
        <f t="shared" si="19"/>
        <v/>
      </c>
      <c r="I116" s="95">
        <f t="shared" si="20"/>
        <v>0</v>
      </c>
      <c r="J116" s="104">
        <f t="shared" si="21"/>
        <v>0</v>
      </c>
      <c r="K116" s="104">
        <f t="shared" si="22"/>
        <v>0</v>
      </c>
      <c r="L116" s="104">
        <f t="shared" si="23"/>
        <v>0</v>
      </c>
      <c r="M116" s="77"/>
    </row>
    <row r="117" spans="1:13" ht="15" customHeight="1" x14ac:dyDescent="0.25">
      <c r="A117" s="77"/>
      <c r="B117" s="77"/>
      <c r="C117" s="77"/>
      <c r="D117" s="77"/>
      <c r="E117" s="77"/>
      <c r="F117" s="148" t="str">
        <f t="shared" si="18"/>
        <v/>
      </c>
      <c r="G117" s="77"/>
      <c r="H117" s="97" t="str">
        <f t="shared" si="19"/>
        <v/>
      </c>
      <c r="I117" s="95">
        <f t="shared" si="20"/>
        <v>0</v>
      </c>
      <c r="J117" s="104">
        <f t="shared" si="21"/>
        <v>0</v>
      </c>
      <c r="K117" s="104">
        <f t="shared" si="22"/>
        <v>0</v>
      </c>
      <c r="L117" s="104">
        <f t="shared" si="23"/>
        <v>0</v>
      </c>
      <c r="M117" s="77"/>
    </row>
    <row r="118" spans="1:13" ht="15" customHeight="1" x14ac:dyDescent="0.25">
      <c r="A118" s="77"/>
      <c r="B118" s="77"/>
      <c r="C118" s="77"/>
      <c r="D118" s="77"/>
      <c r="E118" s="77"/>
      <c r="F118" s="148" t="str">
        <f t="shared" si="18"/>
        <v/>
      </c>
      <c r="G118" s="77"/>
      <c r="H118" s="97" t="str">
        <f t="shared" si="19"/>
        <v/>
      </c>
      <c r="I118" s="95">
        <f t="shared" si="20"/>
        <v>0</v>
      </c>
      <c r="J118" s="104">
        <f t="shared" si="21"/>
        <v>0</v>
      </c>
      <c r="K118" s="104">
        <f t="shared" si="22"/>
        <v>0</v>
      </c>
      <c r="L118" s="104">
        <f t="shared" si="23"/>
        <v>0</v>
      </c>
      <c r="M118" s="77"/>
    </row>
    <row r="119" spans="1:13" ht="15" customHeight="1" x14ac:dyDescent="0.25">
      <c r="A119" s="77"/>
      <c r="B119" s="77"/>
      <c r="C119" s="77"/>
      <c r="D119" s="77"/>
      <c r="E119" s="77"/>
      <c r="F119" s="148" t="str">
        <f t="shared" si="18"/>
        <v/>
      </c>
      <c r="G119" s="77"/>
      <c r="H119" s="97" t="str">
        <f t="shared" si="19"/>
        <v/>
      </c>
      <c r="I119" s="95">
        <f t="shared" si="20"/>
        <v>0</v>
      </c>
      <c r="J119" s="104">
        <f t="shared" si="21"/>
        <v>0</v>
      </c>
      <c r="K119" s="104">
        <f t="shared" si="22"/>
        <v>0</v>
      </c>
      <c r="L119" s="104">
        <f t="shared" si="23"/>
        <v>0</v>
      </c>
      <c r="M119" s="77"/>
    </row>
    <row r="120" spans="1:13" ht="15" customHeight="1" x14ac:dyDescent="0.25">
      <c r="A120" s="77"/>
      <c r="B120" s="77"/>
      <c r="C120" s="77"/>
      <c r="D120" s="77"/>
      <c r="E120" s="77"/>
      <c r="F120" s="148" t="str">
        <f t="shared" si="18"/>
        <v/>
      </c>
      <c r="G120" s="77"/>
      <c r="H120" s="97" t="str">
        <f t="shared" si="19"/>
        <v/>
      </c>
      <c r="I120" s="95">
        <f t="shared" si="20"/>
        <v>0</v>
      </c>
      <c r="J120" s="104">
        <f t="shared" si="21"/>
        <v>0</v>
      </c>
      <c r="K120" s="104">
        <f t="shared" si="22"/>
        <v>0</v>
      </c>
      <c r="L120" s="104">
        <f t="shared" si="23"/>
        <v>0</v>
      </c>
      <c r="M120" s="77"/>
    </row>
    <row r="121" spans="1:13" ht="15" customHeight="1" x14ac:dyDescent="0.25">
      <c r="A121" s="77"/>
      <c r="B121" s="77"/>
      <c r="C121" s="77"/>
      <c r="D121" s="77"/>
      <c r="E121" s="77"/>
      <c r="F121" s="148" t="str">
        <f t="shared" si="18"/>
        <v/>
      </c>
      <c r="G121" s="77"/>
      <c r="H121" s="97" t="str">
        <f t="shared" si="19"/>
        <v/>
      </c>
      <c r="I121" s="95">
        <f t="shared" si="20"/>
        <v>0</v>
      </c>
      <c r="J121" s="104">
        <f t="shared" si="21"/>
        <v>0</v>
      </c>
      <c r="K121" s="104">
        <f t="shared" si="22"/>
        <v>0</v>
      </c>
      <c r="L121" s="104">
        <f t="shared" si="23"/>
        <v>0</v>
      </c>
      <c r="M121" s="77"/>
    </row>
    <row r="122" spans="1:13" ht="15" customHeight="1" x14ac:dyDescent="0.25">
      <c r="A122" s="77"/>
      <c r="B122" s="77"/>
      <c r="C122" s="77"/>
      <c r="D122" s="77"/>
      <c r="E122" s="77"/>
      <c r="F122" s="148" t="str">
        <f t="shared" si="18"/>
        <v/>
      </c>
      <c r="G122" s="77"/>
      <c r="H122" s="97" t="str">
        <f t="shared" si="19"/>
        <v/>
      </c>
      <c r="I122" s="95">
        <f t="shared" si="20"/>
        <v>0</v>
      </c>
      <c r="J122" s="104">
        <f t="shared" si="21"/>
        <v>0</v>
      </c>
      <c r="K122" s="104">
        <f t="shared" si="22"/>
        <v>0</v>
      </c>
      <c r="L122" s="104">
        <f t="shared" si="23"/>
        <v>0</v>
      </c>
      <c r="M122" s="77"/>
    </row>
    <row r="123" spans="1:13" ht="15" customHeight="1" x14ac:dyDescent="0.25">
      <c r="A123" s="77"/>
      <c r="B123" s="77"/>
      <c r="C123" s="77"/>
      <c r="D123" s="77"/>
      <c r="E123" s="77"/>
      <c r="F123" s="148" t="str">
        <f t="shared" si="18"/>
        <v/>
      </c>
      <c r="G123" s="77"/>
      <c r="H123" s="97" t="str">
        <f t="shared" si="19"/>
        <v/>
      </c>
      <c r="I123" s="95">
        <f t="shared" si="20"/>
        <v>0</v>
      </c>
      <c r="J123" s="104">
        <f t="shared" si="21"/>
        <v>0</v>
      </c>
      <c r="K123" s="104">
        <f t="shared" si="22"/>
        <v>0</v>
      </c>
      <c r="L123" s="104">
        <f t="shared" si="23"/>
        <v>0</v>
      </c>
      <c r="M123" s="77"/>
    </row>
    <row r="124" spans="1:13" ht="15" customHeight="1" x14ac:dyDescent="0.25">
      <c r="A124" s="77"/>
      <c r="B124" s="77"/>
      <c r="C124" s="77"/>
      <c r="D124" s="77"/>
      <c r="E124" s="77"/>
      <c r="F124" s="148" t="str">
        <f t="shared" si="18"/>
        <v/>
      </c>
      <c r="G124" s="77"/>
      <c r="H124" s="97" t="str">
        <f t="shared" si="19"/>
        <v/>
      </c>
      <c r="I124" s="95">
        <f t="shared" si="20"/>
        <v>0</v>
      </c>
      <c r="J124" s="104">
        <f t="shared" si="21"/>
        <v>0</v>
      </c>
      <c r="K124" s="104">
        <f t="shared" si="22"/>
        <v>0</v>
      </c>
      <c r="L124" s="104">
        <f t="shared" si="23"/>
        <v>0</v>
      </c>
      <c r="M124" s="77"/>
    </row>
    <row r="125" spans="1:13" ht="15" customHeight="1" x14ac:dyDescent="0.25">
      <c r="A125" s="77"/>
      <c r="B125" s="77"/>
      <c r="C125" s="77"/>
      <c r="D125" s="77"/>
      <c r="E125" s="77"/>
      <c r="F125" s="148" t="str">
        <f t="shared" si="18"/>
        <v/>
      </c>
      <c r="G125" s="77"/>
      <c r="H125" s="97" t="str">
        <f t="shared" si="19"/>
        <v/>
      </c>
      <c r="I125" s="95">
        <f t="shared" si="20"/>
        <v>0</v>
      </c>
      <c r="J125" s="104">
        <f t="shared" si="21"/>
        <v>0</v>
      </c>
      <c r="K125" s="104">
        <f t="shared" si="22"/>
        <v>0</v>
      </c>
      <c r="L125" s="104">
        <f t="shared" si="23"/>
        <v>0</v>
      </c>
      <c r="M125" s="77"/>
    </row>
    <row r="126" spans="1:13" ht="15" customHeight="1" x14ac:dyDescent="0.25">
      <c r="A126" s="77"/>
      <c r="B126" s="77"/>
      <c r="C126" s="77"/>
      <c r="D126" s="77"/>
      <c r="E126" s="77"/>
      <c r="F126" s="148" t="str">
        <f t="shared" si="18"/>
        <v/>
      </c>
      <c r="G126" s="77"/>
      <c r="H126" s="97" t="str">
        <f t="shared" si="19"/>
        <v/>
      </c>
      <c r="I126" s="95">
        <f t="shared" si="20"/>
        <v>0</v>
      </c>
      <c r="J126" s="104">
        <f t="shared" si="21"/>
        <v>0</v>
      </c>
      <c r="K126" s="104">
        <f t="shared" si="22"/>
        <v>0</v>
      </c>
      <c r="L126" s="104">
        <f t="shared" si="23"/>
        <v>0</v>
      </c>
      <c r="M126" s="77"/>
    </row>
    <row r="127" spans="1:13" ht="15" customHeight="1" x14ac:dyDescent="0.25">
      <c r="A127" s="77"/>
      <c r="B127" s="77"/>
      <c r="C127" s="77"/>
      <c r="D127" s="77"/>
      <c r="E127" s="77"/>
      <c r="F127" s="148" t="str">
        <f t="shared" si="18"/>
        <v/>
      </c>
      <c r="G127" s="77"/>
      <c r="H127" s="97" t="str">
        <f t="shared" si="19"/>
        <v/>
      </c>
      <c r="I127" s="95">
        <f t="shared" si="20"/>
        <v>0</v>
      </c>
      <c r="J127" s="104">
        <f t="shared" si="21"/>
        <v>0</v>
      </c>
      <c r="K127" s="104">
        <f t="shared" si="22"/>
        <v>0</v>
      </c>
      <c r="L127" s="104">
        <f t="shared" si="23"/>
        <v>0</v>
      </c>
      <c r="M127" s="77"/>
    </row>
    <row r="128" spans="1:13" ht="15" customHeight="1" x14ac:dyDescent="0.25">
      <c r="A128" s="77"/>
      <c r="B128" s="77"/>
      <c r="C128" s="77"/>
      <c r="D128" s="77"/>
      <c r="E128" s="77"/>
      <c r="F128" s="148" t="str">
        <f t="shared" si="18"/>
        <v/>
      </c>
      <c r="G128" s="77"/>
      <c r="H128" s="97" t="str">
        <f t="shared" si="19"/>
        <v/>
      </c>
      <c r="I128" s="95">
        <f t="shared" si="20"/>
        <v>0</v>
      </c>
      <c r="J128" s="104">
        <f t="shared" si="21"/>
        <v>0</v>
      </c>
      <c r="K128" s="104">
        <f t="shared" si="22"/>
        <v>0</v>
      </c>
      <c r="L128" s="104">
        <f t="shared" si="23"/>
        <v>0</v>
      </c>
      <c r="M128" s="77"/>
    </row>
    <row r="129" spans="1:13" ht="15" customHeight="1" x14ac:dyDescent="0.25">
      <c r="A129" s="77"/>
      <c r="B129" s="77"/>
      <c r="C129" s="77"/>
      <c r="D129" s="77"/>
      <c r="E129" s="77"/>
      <c r="F129" s="148" t="str">
        <f t="shared" si="18"/>
        <v/>
      </c>
      <c r="G129" s="77"/>
      <c r="H129" s="97" t="str">
        <f t="shared" si="19"/>
        <v/>
      </c>
      <c r="I129" s="95">
        <f t="shared" si="20"/>
        <v>0</v>
      </c>
      <c r="J129" s="104">
        <f t="shared" si="21"/>
        <v>0</v>
      </c>
      <c r="K129" s="104">
        <f t="shared" si="22"/>
        <v>0</v>
      </c>
      <c r="L129" s="104">
        <f t="shared" si="23"/>
        <v>0</v>
      </c>
      <c r="M129" s="77"/>
    </row>
    <row r="130" spans="1:13" ht="15" customHeight="1" x14ac:dyDescent="0.25">
      <c r="A130" s="77"/>
      <c r="B130" s="77"/>
      <c r="C130" s="77"/>
      <c r="D130" s="77"/>
      <c r="E130" s="77"/>
      <c r="F130" s="148" t="str">
        <f t="shared" si="18"/>
        <v/>
      </c>
      <c r="G130" s="77"/>
      <c r="H130" s="97" t="str">
        <f t="shared" si="19"/>
        <v/>
      </c>
      <c r="I130" s="95">
        <f t="shared" si="20"/>
        <v>0</v>
      </c>
      <c r="J130" s="104">
        <f t="shared" si="21"/>
        <v>0</v>
      </c>
      <c r="K130" s="104">
        <f t="shared" si="22"/>
        <v>0</v>
      </c>
      <c r="L130" s="104">
        <f t="shared" si="23"/>
        <v>0</v>
      </c>
      <c r="M130" s="77"/>
    </row>
    <row r="131" spans="1:13" ht="15" customHeight="1" x14ac:dyDescent="0.25">
      <c r="A131" s="77"/>
      <c r="B131" s="77"/>
      <c r="C131" s="77"/>
      <c r="D131" s="77"/>
      <c r="E131" s="77"/>
      <c r="F131" s="148" t="str">
        <f t="shared" ref="F131:F162" si="24">IFERROR(VLOOKUP(E131,Materials_Table,2,FALSE()),IFERROR(VLOOKUP(E131,Hardware_Table,2,FALSE()),""))</f>
        <v/>
      </c>
      <c r="G131" s="77"/>
      <c r="H131" s="97" t="str">
        <f t="shared" ref="H131:H162" si="25">IFERROR(VLOOKUP(E131,Materials_Table,5,FALSE()),IFERROR(VLOOKUP(E131,Hardware_Table,5,FALSE()),""))</f>
        <v/>
      </c>
      <c r="I131" s="95">
        <f t="shared" ref="I131:I162" si="26">IFERROR(VLOOKUP(E131,Materials_Table,6,FALSE()),IFERROR(VLOOKUP(E131,Hardware_Table,6,FALSE()),0))</f>
        <v>0</v>
      </c>
      <c r="J131" s="104">
        <f t="shared" ref="J131:J162" si="27">G131*I131</f>
        <v>0</v>
      </c>
      <c r="K131" s="104">
        <f t="shared" ref="K131:K162" si="28">J131*VAT_Rate</f>
        <v>0</v>
      </c>
      <c r="L131" s="104">
        <f t="shared" ref="L131:L162" si="29">J131+K131</f>
        <v>0</v>
      </c>
      <c r="M131" s="77"/>
    </row>
    <row r="132" spans="1:13" ht="15" customHeight="1" x14ac:dyDescent="0.25">
      <c r="A132" s="77"/>
      <c r="B132" s="77"/>
      <c r="C132" s="77"/>
      <c r="D132" s="77"/>
      <c r="E132" s="77"/>
      <c r="F132" s="148" t="str">
        <f t="shared" si="24"/>
        <v/>
      </c>
      <c r="G132" s="77"/>
      <c r="H132" s="97" t="str">
        <f t="shared" si="25"/>
        <v/>
      </c>
      <c r="I132" s="95">
        <f t="shared" si="26"/>
        <v>0</v>
      </c>
      <c r="J132" s="104">
        <f t="shared" si="27"/>
        <v>0</v>
      </c>
      <c r="K132" s="104">
        <f t="shared" si="28"/>
        <v>0</v>
      </c>
      <c r="L132" s="104">
        <f t="shared" si="29"/>
        <v>0</v>
      </c>
      <c r="M132" s="77"/>
    </row>
    <row r="133" spans="1:13" ht="15" customHeight="1" x14ac:dyDescent="0.25">
      <c r="A133" s="77"/>
      <c r="B133" s="77"/>
      <c r="C133" s="77"/>
      <c r="D133" s="77"/>
      <c r="E133" s="77"/>
      <c r="F133" s="148" t="str">
        <f t="shared" si="24"/>
        <v/>
      </c>
      <c r="G133" s="77"/>
      <c r="H133" s="97" t="str">
        <f t="shared" si="25"/>
        <v/>
      </c>
      <c r="I133" s="95">
        <f t="shared" si="26"/>
        <v>0</v>
      </c>
      <c r="J133" s="104">
        <f t="shared" si="27"/>
        <v>0</v>
      </c>
      <c r="K133" s="104">
        <f t="shared" si="28"/>
        <v>0</v>
      </c>
      <c r="L133" s="104">
        <f t="shared" si="29"/>
        <v>0</v>
      </c>
      <c r="M133" s="77"/>
    </row>
    <row r="134" spans="1:13" ht="15" customHeight="1" x14ac:dyDescent="0.25">
      <c r="A134" s="77"/>
      <c r="B134" s="77"/>
      <c r="C134" s="77"/>
      <c r="D134" s="77"/>
      <c r="E134" s="77"/>
      <c r="F134" s="148" t="str">
        <f t="shared" si="24"/>
        <v/>
      </c>
      <c r="G134" s="77"/>
      <c r="H134" s="97" t="str">
        <f t="shared" si="25"/>
        <v/>
      </c>
      <c r="I134" s="95">
        <f t="shared" si="26"/>
        <v>0</v>
      </c>
      <c r="J134" s="104">
        <f t="shared" si="27"/>
        <v>0</v>
      </c>
      <c r="K134" s="104">
        <f t="shared" si="28"/>
        <v>0</v>
      </c>
      <c r="L134" s="104">
        <f t="shared" si="29"/>
        <v>0</v>
      </c>
      <c r="M134" s="77"/>
    </row>
    <row r="135" spans="1:13" ht="15" customHeight="1" x14ac:dyDescent="0.25">
      <c r="A135" s="77"/>
      <c r="B135" s="77"/>
      <c r="C135" s="77"/>
      <c r="D135" s="77"/>
      <c r="E135" s="77"/>
      <c r="F135" s="148" t="str">
        <f t="shared" si="24"/>
        <v/>
      </c>
      <c r="G135" s="77"/>
      <c r="H135" s="97" t="str">
        <f t="shared" si="25"/>
        <v/>
      </c>
      <c r="I135" s="95">
        <f t="shared" si="26"/>
        <v>0</v>
      </c>
      <c r="J135" s="104">
        <f t="shared" si="27"/>
        <v>0</v>
      </c>
      <c r="K135" s="104">
        <f t="shared" si="28"/>
        <v>0</v>
      </c>
      <c r="L135" s="104">
        <f t="shared" si="29"/>
        <v>0</v>
      </c>
      <c r="M135" s="77"/>
    </row>
    <row r="136" spans="1:13" ht="15" customHeight="1" x14ac:dyDescent="0.25">
      <c r="A136" s="77"/>
      <c r="B136" s="77"/>
      <c r="C136" s="77"/>
      <c r="D136" s="77"/>
      <c r="E136" s="77"/>
      <c r="F136" s="148" t="str">
        <f t="shared" si="24"/>
        <v/>
      </c>
      <c r="G136" s="77"/>
      <c r="H136" s="97" t="str">
        <f t="shared" si="25"/>
        <v/>
      </c>
      <c r="I136" s="95">
        <f t="shared" si="26"/>
        <v>0</v>
      </c>
      <c r="J136" s="104">
        <f t="shared" si="27"/>
        <v>0</v>
      </c>
      <c r="K136" s="104">
        <f t="shared" si="28"/>
        <v>0</v>
      </c>
      <c r="L136" s="104">
        <f t="shared" si="29"/>
        <v>0</v>
      </c>
      <c r="M136" s="77"/>
    </row>
    <row r="137" spans="1:13" ht="15" customHeight="1" x14ac:dyDescent="0.25">
      <c r="A137" s="77"/>
      <c r="B137" s="77"/>
      <c r="C137" s="77"/>
      <c r="D137" s="77"/>
      <c r="E137" s="77"/>
      <c r="F137" s="148" t="str">
        <f t="shared" si="24"/>
        <v/>
      </c>
      <c r="G137" s="77"/>
      <c r="H137" s="97" t="str">
        <f t="shared" si="25"/>
        <v/>
      </c>
      <c r="I137" s="95">
        <f t="shared" si="26"/>
        <v>0</v>
      </c>
      <c r="J137" s="104">
        <f t="shared" si="27"/>
        <v>0</v>
      </c>
      <c r="K137" s="104">
        <f t="shared" si="28"/>
        <v>0</v>
      </c>
      <c r="L137" s="104">
        <f t="shared" si="29"/>
        <v>0</v>
      </c>
      <c r="M137" s="77"/>
    </row>
    <row r="138" spans="1:13" ht="15" customHeight="1" x14ac:dyDescent="0.25">
      <c r="A138" s="77"/>
      <c r="B138" s="77"/>
      <c r="C138" s="77"/>
      <c r="D138" s="77"/>
      <c r="E138" s="77"/>
      <c r="F138" s="148" t="str">
        <f t="shared" si="24"/>
        <v/>
      </c>
      <c r="G138" s="77"/>
      <c r="H138" s="97" t="str">
        <f t="shared" si="25"/>
        <v/>
      </c>
      <c r="I138" s="95">
        <f t="shared" si="26"/>
        <v>0</v>
      </c>
      <c r="J138" s="104">
        <f t="shared" si="27"/>
        <v>0</v>
      </c>
      <c r="K138" s="104">
        <f t="shared" si="28"/>
        <v>0</v>
      </c>
      <c r="L138" s="104">
        <f t="shared" si="29"/>
        <v>0</v>
      </c>
      <c r="M138" s="77"/>
    </row>
    <row r="139" spans="1:13" ht="15" customHeight="1" x14ac:dyDescent="0.25">
      <c r="A139" s="77"/>
      <c r="B139" s="77"/>
      <c r="C139" s="77"/>
      <c r="D139" s="77"/>
      <c r="E139" s="77"/>
      <c r="F139" s="148" t="str">
        <f t="shared" si="24"/>
        <v/>
      </c>
      <c r="G139" s="77"/>
      <c r="H139" s="97" t="str">
        <f t="shared" si="25"/>
        <v/>
      </c>
      <c r="I139" s="95">
        <f t="shared" si="26"/>
        <v>0</v>
      </c>
      <c r="J139" s="104">
        <f t="shared" si="27"/>
        <v>0</v>
      </c>
      <c r="K139" s="104">
        <f t="shared" si="28"/>
        <v>0</v>
      </c>
      <c r="L139" s="104">
        <f t="shared" si="29"/>
        <v>0</v>
      </c>
      <c r="M139" s="77"/>
    </row>
    <row r="140" spans="1:13" ht="15" customHeight="1" x14ac:dyDescent="0.25">
      <c r="A140" s="77"/>
      <c r="B140" s="77"/>
      <c r="C140" s="77"/>
      <c r="D140" s="77"/>
      <c r="E140" s="77"/>
      <c r="F140" s="148" t="str">
        <f t="shared" si="24"/>
        <v/>
      </c>
      <c r="G140" s="77"/>
      <c r="H140" s="97" t="str">
        <f t="shared" si="25"/>
        <v/>
      </c>
      <c r="I140" s="95">
        <f t="shared" si="26"/>
        <v>0</v>
      </c>
      <c r="J140" s="104">
        <f t="shared" si="27"/>
        <v>0</v>
      </c>
      <c r="K140" s="104">
        <f t="shared" si="28"/>
        <v>0</v>
      </c>
      <c r="L140" s="104">
        <f t="shared" si="29"/>
        <v>0</v>
      </c>
      <c r="M140" s="77"/>
    </row>
    <row r="141" spans="1:13" ht="15" customHeight="1" x14ac:dyDescent="0.25">
      <c r="A141" s="77"/>
      <c r="B141" s="77"/>
      <c r="C141" s="77"/>
      <c r="D141" s="77"/>
      <c r="E141" s="77"/>
      <c r="F141" s="148" t="str">
        <f t="shared" si="24"/>
        <v/>
      </c>
      <c r="G141" s="77"/>
      <c r="H141" s="97" t="str">
        <f t="shared" si="25"/>
        <v/>
      </c>
      <c r="I141" s="95">
        <f t="shared" si="26"/>
        <v>0</v>
      </c>
      <c r="J141" s="104">
        <f t="shared" si="27"/>
        <v>0</v>
      </c>
      <c r="K141" s="104">
        <f t="shared" si="28"/>
        <v>0</v>
      </c>
      <c r="L141" s="104">
        <f t="shared" si="29"/>
        <v>0</v>
      </c>
      <c r="M141" s="77"/>
    </row>
    <row r="142" spans="1:13" ht="15" customHeight="1" x14ac:dyDescent="0.25">
      <c r="A142" s="77"/>
      <c r="B142" s="77"/>
      <c r="C142" s="77"/>
      <c r="D142" s="77"/>
      <c r="E142" s="77"/>
      <c r="F142" s="148" t="str">
        <f t="shared" si="24"/>
        <v/>
      </c>
      <c r="G142" s="77"/>
      <c r="H142" s="97" t="str">
        <f t="shared" si="25"/>
        <v/>
      </c>
      <c r="I142" s="95">
        <f t="shared" si="26"/>
        <v>0</v>
      </c>
      <c r="J142" s="104">
        <f t="shared" si="27"/>
        <v>0</v>
      </c>
      <c r="K142" s="104">
        <f t="shared" si="28"/>
        <v>0</v>
      </c>
      <c r="L142" s="104">
        <f t="shared" si="29"/>
        <v>0</v>
      </c>
      <c r="M142" s="77"/>
    </row>
    <row r="143" spans="1:13" ht="15" customHeight="1" x14ac:dyDescent="0.25">
      <c r="A143" s="77"/>
      <c r="B143" s="77"/>
      <c r="C143" s="77"/>
      <c r="D143" s="77"/>
      <c r="E143" s="77"/>
      <c r="F143" s="148" t="str">
        <f t="shared" si="24"/>
        <v/>
      </c>
      <c r="G143" s="77"/>
      <c r="H143" s="97" t="str">
        <f t="shared" si="25"/>
        <v/>
      </c>
      <c r="I143" s="95">
        <f t="shared" si="26"/>
        <v>0</v>
      </c>
      <c r="J143" s="104">
        <f t="shared" si="27"/>
        <v>0</v>
      </c>
      <c r="K143" s="104">
        <f t="shared" si="28"/>
        <v>0</v>
      </c>
      <c r="L143" s="104">
        <f t="shared" si="29"/>
        <v>0</v>
      </c>
      <c r="M143" s="77"/>
    </row>
    <row r="144" spans="1:13" ht="15" customHeight="1" x14ac:dyDescent="0.25">
      <c r="A144" s="77"/>
      <c r="B144" s="77"/>
      <c r="C144" s="77"/>
      <c r="D144" s="77"/>
      <c r="E144" s="77"/>
      <c r="F144" s="148" t="str">
        <f t="shared" si="24"/>
        <v/>
      </c>
      <c r="G144" s="77"/>
      <c r="H144" s="97" t="str">
        <f t="shared" si="25"/>
        <v/>
      </c>
      <c r="I144" s="95">
        <f t="shared" si="26"/>
        <v>0</v>
      </c>
      <c r="J144" s="104">
        <f t="shared" si="27"/>
        <v>0</v>
      </c>
      <c r="K144" s="104">
        <f t="shared" si="28"/>
        <v>0</v>
      </c>
      <c r="L144" s="104">
        <f t="shared" si="29"/>
        <v>0</v>
      </c>
      <c r="M144" s="77"/>
    </row>
    <row r="145" spans="1:13" ht="15" customHeight="1" x14ac:dyDescent="0.25">
      <c r="A145" s="77"/>
      <c r="B145" s="77"/>
      <c r="C145" s="77"/>
      <c r="D145" s="77"/>
      <c r="E145" s="77"/>
      <c r="F145" s="148" t="str">
        <f t="shared" si="24"/>
        <v/>
      </c>
      <c r="G145" s="77"/>
      <c r="H145" s="97" t="str">
        <f t="shared" si="25"/>
        <v/>
      </c>
      <c r="I145" s="95">
        <f t="shared" si="26"/>
        <v>0</v>
      </c>
      <c r="J145" s="104">
        <f t="shared" si="27"/>
        <v>0</v>
      </c>
      <c r="K145" s="104">
        <f t="shared" si="28"/>
        <v>0</v>
      </c>
      <c r="L145" s="104">
        <f t="shared" si="29"/>
        <v>0</v>
      </c>
      <c r="M145" s="77"/>
    </row>
    <row r="146" spans="1:13" ht="15" customHeight="1" x14ac:dyDescent="0.25">
      <c r="A146" s="77"/>
      <c r="B146" s="77"/>
      <c r="C146" s="77"/>
      <c r="D146" s="77"/>
      <c r="E146" s="77"/>
      <c r="F146" s="148" t="str">
        <f t="shared" si="24"/>
        <v/>
      </c>
      <c r="G146" s="77"/>
      <c r="H146" s="97" t="str">
        <f t="shared" si="25"/>
        <v/>
      </c>
      <c r="I146" s="95">
        <f t="shared" si="26"/>
        <v>0</v>
      </c>
      <c r="J146" s="104">
        <f t="shared" si="27"/>
        <v>0</v>
      </c>
      <c r="K146" s="104">
        <f t="shared" si="28"/>
        <v>0</v>
      </c>
      <c r="L146" s="104">
        <f t="shared" si="29"/>
        <v>0</v>
      </c>
      <c r="M146" s="77"/>
    </row>
    <row r="147" spans="1:13" ht="15" customHeight="1" x14ac:dyDescent="0.25">
      <c r="A147" s="77"/>
      <c r="B147" s="77"/>
      <c r="C147" s="77"/>
      <c r="D147" s="77"/>
      <c r="E147" s="77"/>
      <c r="F147" s="148" t="str">
        <f t="shared" si="24"/>
        <v/>
      </c>
      <c r="G147" s="77"/>
      <c r="H147" s="97" t="str">
        <f t="shared" si="25"/>
        <v/>
      </c>
      <c r="I147" s="95">
        <f t="shared" si="26"/>
        <v>0</v>
      </c>
      <c r="J147" s="104">
        <f t="shared" si="27"/>
        <v>0</v>
      </c>
      <c r="K147" s="104">
        <f t="shared" si="28"/>
        <v>0</v>
      </c>
      <c r="L147" s="104">
        <f t="shared" si="29"/>
        <v>0</v>
      </c>
      <c r="M147" s="77"/>
    </row>
    <row r="148" spans="1:13" ht="15" customHeight="1" x14ac:dyDescent="0.25">
      <c r="A148" s="77"/>
      <c r="B148" s="77"/>
      <c r="C148" s="77"/>
      <c r="D148" s="77"/>
      <c r="E148" s="77"/>
      <c r="F148" s="148" t="str">
        <f t="shared" si="24"/>
        <v/>
      </c>
      <c r="G148" s="77"/>
      <c r="H148" s="97" t="str">
        <f t="shared" si="25"/>
        <v/>
      </c>
      <c r="I148" s="95">
        <f t="shared" si="26"/>
        <v>0</v>
      </c>
      <c r="J148" s="104">
        <f t="shared" si="27"/>
        <v>0</v>
      </c>
      <c r="K148" s="104">
        <f t="shared" si="28"/>
        <v>0</v>
      </c>
      <c r="L148" s="104">
        <f t="shared" si="29"/>
        <v>0</v>
      </c>
      <c r="M148" s="77"/>
    </row>
    <row r="149" spans="1:13" ht="15" customHeight="1" x14ac:dyDescent="0.25">
      <c r="A149" s="77"/>
      <c r="B149" s="77"/>
      <c r="C149" s="77"/>
      <c r="D149" s="77"/>
      <c r="E149" s="77"/>
      <c r="F149" s="148" t="str">
        <f t="shared" si="24"/>
        <v/>
      </c>
      <c r="G149" s="77"/>
      <c r="H149" s="97" t="str">
        <f t="shared" si="25"/>
        <v/>
      </c>
      <c r="I149" s="95">
        <f t="shared" si="26"/>
        <v>0</v>
      </c>
      <c r="J149" s="104">
        <f t="shared" si="27"/>
        <v>0</v>
      </c>
      <c r="K149" s="104">
        <f t="shared" si="28"/>
        <v>0</v>
      </c>
      <c r="L149" s="104">
        <f t="shared" si="29"/>
        <v>0</v>
      </c>
      <c r="M149" s="77"/>
    </row>
    <row r="150" spans="1:13" ht="15" customHeight="1" x14ac:dyDescent="0.25">
      <c r="A150" s="77"/>
      <c r="B150" s="77"/>
      <c r="C150" s="77"/>
      <c r="D150" s="77"/>
      <c r="E150" s="77"/>
      <c r="F150" s="148" t="str">
        <f t="shared" si="24"/>
        <v/>
      </c>
      <c r="G150" s="77"/>
      <c r="H150" s="97" t="str">
        <f t="shared" si="25"/>
        <v/>
      </c>
      <c r="I150" s="95">
        <f t="shared" si="26"/>
        <v>0</v>
      </c>
      <c r="J150" s="104">
        <f t="shared" si="27"/>
        <v>0</v>
      </c>
      <c r="K150" s="104">
        <f t="shared" si="28"/>
        <v>0</v>
      </c>
      <c r="L150" s="104">
        <f t="shared" si="29"/>
        <v>0</v>
      </c>
      <c r="M150" s="77"/>
    </row>
    <row r="151" spans="1:13" ht="15" customHeight="1" x14ac:dyDescent="0.25">
      <c r="A151" s="77"/>
      <c r="B151" s="77"/>
      <c r="C151" s="77"/>
      <c r="D151" s="77"/>
      <c r="E151" s="77"/>
      <c r="F151" s="148" t="str">
        <f t="shared" si="24"/>
        <v/>
      </c>
      <c r="G151" s="77"/>
      <c r="H151" s="97" t="str">
        <f t="shared" si="25"/>
        <v/>
      </c>
      <c r="I151" s="95">
        <f t="shared" si="26"/>
        <v>0</v>
      </c>
      <c r="J151" s="104">
        <f t="shared" si="27"/>
        <v>0</v>
      </c>
      <c r="K151" s="104">
        <f t="shared" si="28"/>
        <v>0</v>
      </c>
      <c r="L151" s="104">
        <f t="shared" si="29"/>
        <v>0</v>
      </c>
      <c r="M151" s="77"/>
    </row>
    <row r="152" spans="1:13" ht="15" customHeight="1" x14ac:dyDescent="0.25">
      <c r="A152" s="77"/>
      <c r="B152" s="77"/>
      <c r="C152" s="77"/>
      <c r="D152" s="77"/>
      <c r="E152" s="77"/>
      <c r="F152" s="148" t="str">
        <f t="shared" si="24"/>
        <v/>
      </c>
      <c r="G152" s="77"/>
      <c r="H152" s="97" t="str">
        <f t="shared" si="25"/>
        <v/>
      </c>
      <c r="I152" s="95">
        <f t="shared" si="26"/>
        <v>0</v>
      </c>
      <c r="J152" s="104">
        <f t="shared" si="27"/>
        <v>0</v>
      </c>
      <c r="K152" s="104">
        <f t="shared" si="28"/>
        <v>0</v>
      </c>
      <c r="L152" s="104">
        <f t="shared" si="29"/>
        <v>0</v>
      </c>
      <c r="M152" s="77"/>
    </row>
    <row r="153" spans="1:13" ht="15" customHeight="1" x14ac:dyDescent="0.25">
      <c r="A153" s="77"/>
      <c r="B153" s="77"/>
      <c r="C153" s="77"/>
      <c r="D153" s="77"/>
      <c r="E153" s="77"/>
      <c r="F153" s="148" t="str">
        <f t="shared" si="24"/>
        <v/>
      </c>
      <c r="G153" s="77"/>
      <c r="H153" s="97" t="str">
        <f t="shared" si="25"/>
        <v/>
      </c>
      <c r="I153" s="95">
        <f t="shared" si="26"/>
        <v>0</v>
      </c>
      <c r="J153" s="104">
        <f t="shared" si="27"/>
        <v>0</v>
      </c>
      <c r="K153" s="104">
        <f t="shared" si="28"/>
        <v>0</v>
      </c>
      <c r="L153" s="104">
        <f t="shared" si="29"/>
        <v>0</v>
      </c>
      <c r="M153" s="77"/>
    </row>
    <row r="154" spans="1:13" ht="15" customHeight="1" x14ac:dyDescent="0.25">
      <c r="A154" s="77"/>
      <c r="B154" s="77"/>
      <c r="C154" s="77"/>
      <c r="D154" s="77"/>
      <c r="E154" s="77"/>
      <c r="F154" s="148" t="str">
        <f t="shared" si="24"/>
        <v/>
      </c>
      <c r="G154" s="77"/>
      <c r="H154" s="97" t="str">
        <f t="shared" si="25"/>
        <v/>
      </c>
      <c r="I154" s="95">
        <f t="shared" si="26"/>
        <v>0</v>
      </c>
      <c r="J154" s="104">
        <f t="shared" si="27"/>
        <v>0</v>
      </c>
      <c r="K154" s="104">
        <f t="shared" si="28"/>
        <v>0</v>
      </c>
      <c r="L154" s="104">
        <f t="shared" si="29"/>
        <v>0</v>
      </c>
      <c r="M154" s="77"/>
    </row>
    <row r="155" spans="1:13" ht="15" customHeight="1" x14ac:dyDescent="0.25">
      <c r="A155" s="77"/>
      <c r="B155" s="77"/>
      <c r="C155" s="77"/>
      <c r="D155" s="77"/>
      <c r="E155" s="77"/>
      <c r="F155" s="148" t="str">
        <f t="shared" si="24"/>
        <v/>
      </c>
      <c r="G155" s="77"/>
      <c r="H155" s="97" t="str">
        <f t="shared" si="25"/>
        <v/>
      </c>
      <c r="I155" s="95">
        <f t="shared" si="26"/>
        <v>0</v>
      </c>
      <c r="J155" s="104">
        <f t="shared" si="27"/>
        <v>0</v>
      </c>
      <c r="K155" s="104">
        <f t="shared" si="28"/>
        <v>0</v>
      </c>
      <c r="L155" s="104">
        <f t="shared" si="29"/>
        <v>0</v>
      </c>
      <c r="M155" s="77"/>
    </row>
    <row r="156" spans="1:13" ht="15" customHeight="1" x14ac:dyDescent="0.25">
      <c r="A156" s="77"/>
      <c r="B156" s="77"/>
      <c r="C156" s="77"/>
      <c r="D156" s="77"/>
      <c r="E156" s="77"/>
      <c r="F156" s="148" t="str">
        <f t="shared" si="24"/>
        <v/>
      </c>
      <c r="G156" s="77"/>
      <c r="H156" s="97" t="str">
        <f t="shared" si="25"/>
        <v/>
      </c>
      <c r="I156" s="95">
        <f t="shared" si="26"/>
        <v>0</v>
      </c>
      <c r="J156" s="104">
        <f t="shared" si="27"/>
        <v>0</v>
      </c>
      <c r="K156" s="104">
        <f t="shared" si="28"/>
        <v>0</v>
      </c>
      <c r="L156" s="104">
        <f t="shared" si="29"/>
        <v>0</v>
      </c>
      <c r="M156" s="77"/>
    </row>
    <row r="157" spans="1:13" ht="15" customHeight="1" x14ac:dyDescent="0.25">
      <c r="A157" s="77"/>
      <c r="B157" s="77"/>
      <c r="C157" s="77"/>
      <c r="D157" s="77"/>
      <c r="E157" s="77"/>
      <c r="F157" s="148" t="str">
        <f t="shared" si="24"/>
        <v/>
      </c>
      <c r="G157" s="77"/>
      <c r="H157" s="97" t="str">
        <f t="shared" si="25"/>
        <v/>
      </c>
      <c r="I157" s="95">
        <f t="shared" si="26"/>
        <v>0</v>
      </c>
      <c r="J157" s="104">
        <f t="shared" si="27"/>
        <v>0</v>
      </c>
      <c r="K157" s="104">
        <f t="shared" si="28"/>
        <v>0</v>
      </c>
      <c r="L157" s="104">
        <f t="shared" si="29"/>
        <v>0</v>
      </c>
      <c r="M157" s="77"/>
    </row>
    <row r="158" spans="1:13" ht="15" customHeight="1" x14ac:dyDescent="0.25">
      <c r="A158" s="77"/>
      <c r="B158" s="77"/>
      <c r="C158" s="77"/>
      <c r="D158" s="77"/>
      <c r="E158" s="77"/>
      <c r="F158" s="148" t="str">
        <f t="shared" si="24"/>
        <v/>
      </c>
      <c r="G158" s="77"/>
      <c r="H158" s="97" t="str">
        <f t="shared" si="25"/>
        <v/>
      </c>
      <c r="I158" s="95">
        <f t="shared" si="26"/>
        <v>0</v>
      </c>
      <c r="J158" s="104">
        <f t="shared" si="27"/>
        <v>0</v>
      </c>
      <c r="K158" s="104">
        <f t="shared" si="28"/>
        <v>0</v>
      </c>
      <c r="L158" s="104">
        <f t="shared" si="29"/>
        <v>0</v>
      </c>
      <c r="M158" s="77"/>
    </row>
    <row r="159" spans="1:13" ht="15" customHeight="1" x14ac:dyDescent="0.25">
      <c r="A159" s="77"/>
      <c r="B159" s="77"/>
      <c r="C159" s="77"/>
      <c r="D159" s="77"/>
      <c r="E159" s="77"/>
      <c r="F159" s="148" t="str">
        <f t="shared" si="24"/>
        <v/>
      </c>
      <c r="G159" s="77"/>
      <c r="H159" s="97" t="str">
        <f t="shared" si="25"/>
        <v/>
      </c>
      <c r="I159" s="95">
        <f t="shared" si="26"/>
        <v>0</v>
      </c>
      <c r="J159" s="104">
        <f t="shared" si="27"/>
        <v>0</v>
      </c>
      <c r="K159" s="104">
        <f t="shared" si="28"/>
        <v>0</v>
      </c>
      <c r="L159" s="104">
        <f t="shared" si="29"/>
        <v>0</v>
      </c>
      <c r="M159" s="77"/>
    </row>
    <row r="160" spans="1:13" ht="15" customHeight="1" x14ac:dyDescent="0.25">
      <c r="A160" s="77"/>
      <c r="B160" s="77"/>
      <c r="C160" s="77"/>
      <c r="D160" s="77"/>
      <c r="E160" s="77"/>
      <c r="F160" s="148" t="str">
        <f t="shared" si="24"/>
        <v/>
      </c>
      <c r="G160" s="77"/>
      <c r="H160" s="97" t="str">
        <f t="shared" si="25"/>
        <v/>
      </c>
      <c r="I160" s="95">
        <f t="shared" si="26"/>
        <v>0</v>
      </c>
      <c r="J160" s="104">
        <f t="shared" si="27"/>
        <v>0</v>
      </c>
      <c r="K160" s="104">
        <f t="shared" si="28"/>
        <v>0</v>
      </c>
      <c r="L160" s="104">
        <f t="shared" si="29"/>
        <v>0</v>
      </c>
      <c r="M160" s="77"/>
    </row>
    <row r="161" spans="1:13" ht="15" customHeight="1" x14ac:dyDescent="0.25">
      <c r="A161" s="77"/>
      <c r="B161" s="77"/>
      <c r="C161" s="77"/>
      <c r="D161" s="77"/>
      <c r="E161" s="77"/>
      <c r="F161" s="148" t="str">
        <f t="shared" si="24"/>
        <v/>
      </c>
      <c r="G161" s="77"/>
      <c r="H161" s="97" t="str">
        <f t="shared" si="25"/>
        <v/>
      </c>
      <c r="I161" s="95">
        <f t="shared" si="26"/>
        <v>0</v>
      </c>
      <c r="J161" s="104">
        <f t="shared" si="27"/>
        <v>0</v>
      </c>
      <c r="K161" s="104">
        <f t="shared" si="28"/>
        <v>0</v>
      </c>
      <c r="L161" s="104">
        <f t="shared" si="29"/>
        <v>0</v>
      </c>
      <c r="M161" s="77"/>
    </row>
    <row r="162" spans="1:13" ht="15" customHeight="1" x14ac:dyDescent="0.25">
      <c r="A162" s="77"/>
      <c r="B162" s="77"/>
      <c r="C162" s="77"/>
      <c r="D162" s="77"/>
      <c r="E162" s="77"/>
      <c r="F162" s="148" t="str">
        <f t="shared" si="24"/>
        <v/>
      </c>
      <c r="G162" s="77"/>
      <c r="H162" s="97" t="str">
        <f t="shared" si="25"/>
        <v/>
      </c>
      <c r="I162" s="95">
        <f t="shared" si="26"/>
        <v>0</v>
      </c>
      <c r="J162" s="104">
        <f t="shared" si="27"/>
        <v>0</v>
      </c>
      <c r="K162" s="104">
        <f t="shared" si="28"/>
        <v>0</v>
      </c>
      <c r="L162" s="104">
        <f t="shared" si="29"/>
        <v>0</v>
      </c>
      <c r="M162" s="77"/>
    </row>
    <row r="163" spans="1:13" ht="15" customHeight="1" x14ac:dyDescent="0.25">
      <c r="A163" s="77"/>
      <c r="B163" s="77"/>
      <c r="C163" s="77"/>
      <c r="D163" s="77"/>
      <c r="E163" s="77"/>
      <c r="F163" s="148" t="str">
        <f t="shared" ref="F163:F194" si="30">IFERROR(VLOOKUP(E163,Materials_Table,2,FALSE()),IFERROR(VLOOKUP(E163,Hardware_Table,2,FALSE()),""))</f>
        <v/>
      </c>
      <c r="G163" s="77"/>
      <c r="H163" s="97" t="str">
        <f t="shared" ref="H163:H194" si="31">IFERROR(VLOOKUP(E163,Materials_Table,5,FALSE()),IFERROR(VLOOKUP(E163,Hardware_Table,5,FALSE()),""))</f>
        <v/>
      </c>
      <c r="I163" s="95">
        <f t="shared" ref="I163:I194" si="32">IFERROR(VLOOKUP(E163,Materials_Table,6,FALSE()),IFERROR(VLOOKUP(E163,Hardware_Table,6,FALSE()),0))</f>
        <v>0</v>
      </c>
      <c r="J163" s="104">
        <f t="shared" ref="J163:J194" si="33">G163*I163</f>
        <v>0</v>
      </c>
      <c r="K163" s="104">
        <f t="shared" ref="K163:K194" si="34">J163*VAT_Rate</f>
        <v>0</v>
      </c>
      <c r="L163" s="104">
        <f t="shared" ref="L163:L194" si="35">J163+K163</f>
        <v>0</v>
      </c>
      <c r="M163" s="77"/>
    </row>
    <row r="164" spans="1:13" ht="15" customHeight="1" x14ac:dyDescent="0.25">
      <c r="A164" s="77"/>
      <c r="B164" s="77"/>
      <c r="C164" s="77"/>
      <c r="D164" s="77"/>
      <c r="E164" s="77"/>
      <c r="F164" s="148" t="str">
        <f t="shared" si="30"/>
        <v/>
      </c>
      <c r="G164" s="77"/>
      <c r="H164" s="97" t="str">
        <f t="shared" si="31"/>
        <v/>
      </c>
      <c r="I164" s="95">
        <f t="shared" si="32"/>
        <v>0</v>
      </c>
      <c r="J164" s="104">
        <f t="shared" si="33"/>
        <v>0</v>
      </c>
      <c r="K164" s="104">
        <f t="shared" si="34"/>
        <v>0</v>
      </c>
      <c r="L164" s="104">
        <f t="shared" si="35"/>
        <v>0</v>
      </c>
      <c r="M164" s="77"/>
    </row>
    <row r="165" spans="1:13" ht="15" customHeight="1" x14ac:dyDescent="0.25">
      <c r="A165" s="77"/>
      <c r="B165" s="77"/>
      <c r="C165" s="77"/>
      <c r="D165" s="77"/>
      <c r="E165" s="77"/>
      <c r="F165" s="148" t="str">
        <f t="shared" si="30"/>
        <v/>
      </c>
      <c r="G165" s="77"/>
      <c r="H165" s="97" t="str">
        <f t="shared" si="31"/>
        <v/>
      </c>
      <c r="I165" s="95">
        <f t="shared" si="32"/>
        <v>0</v>
      </c>
      <c r="J165" s="104">
        <f t="shared" si="33"/>
        <v>0</v>
      </c>
      <c r="K165" s="104">
        <f t="shared" si="34"/>
        <v>0</v>
      </c>
      <c r="L165" s="104">
        <f t="shared" si="35"/>
        <v>0</v>
      </c>
      <c r="M165" s="77"/>
    </row>
    <row r="166" spans="1:13" ht="15" customHeight="1" x14ac:dyDescent="0.25">
      <c r="A166" s="77"/>
      <c r="B166" s="77"/>
      <c r="C166" s="77"/>
      <c r="D166" s="77"/>
      <c r="E166" s="77"/>
      <c r="F166" s="148" t="str">
        <f t="shared" si="30"/>
        <v/>
      </c>
      <c r="G166" s="77"/>
      <c r="H166" s="97" t="str">
        <f t="shared" si="31"/>
        <v/>
      </c>
      <c r="I166" s="95">
        <f t="shared" si="32"/>
        <v>0</v>
      </c>
      <c r="J166" s="104">
        <f t="shared" si="33"/>
        <v>0</v>
      </c>
      <c r="K166" s="104">
        <f t="shared" si="34"/>
        <v>0</v>
      </c>
      <c r="L166" s="104">
        <f t="shared" si="35"/>
        <v>0</v>
      </c>
      <c r="M166" s="77"/>
    </row>
    <row r="167" spans="1:13" ht="15" customHeight="1" x14ac:dyDescent="0.25">
      <c r="A167" s="77"/>
      <c r="B167" s="77"/>
      <c r="C167" s="77"/>
      <c r="D167" s="77"/>
      <c r="E167" s="77"/>
      <c r="F167" s="148" t="str">
        <f t="shared" si="30"/>
        <v/>
      </c>
      <c r="G167" s="77"/>
      <c r="H167" s="97" t="str">
        <f t="shared" si="31"/>
        <v/>
      </c>
      <c r="I167" s="95">
        <f t="shared" si="32"/>
        <v>0</v>
      </c>
      <c r="J167" s="104">
        <f t="shared" si="33"/>
        <v>0</v>
      </c>
      <c r="K167" s="104">
        <f t="shared" si="34"/>
        <v>0</v>
      </c>
      <c r="L167" s="104">
        <f t="shared" si="35"/>
        <v>0</v>
      </c>
      <c r="M167" s="77"/>
    </row>
    <row r="168" spans="1:13" ht="15" customHeight="1" x14ac:dyDescent="0.25">
      <c r="A168" s="77"/>
      <c r="B168" s="77"/>
      <c r="C168" s="77"/>
      <c r="D168" s="77"/>
      <c r="E168" s="77"/>
      <c r="F168" s="148" t="str">
        <f t="shared" si="30"/>
        <v/>
      </c>
      <c r="G168" s="77"/>
      <c r="H168" s="97" t="str">
        <f t="shared" si="31"/>
        <v/>
      </c>
      <c r="I168" s="95">
        <f t="shared" si="32"/>
        <v>0</v>
      </c>
      <c r="J168" s="104">
        <f t="shared" si="33"/>
        <v>0</v>
      </c>
      <c r="K168" s="104">
        <f t="shared" si="34"/>
        <v>0</v>
      </c>
      <c r="L168" s="104">
        <f t="shared" si="35"/>
        <v>0</v>
      </c>
      <c r="M168" s="77"/>
    </row>
    <row r="169" spans="1:13" ht="15" customHeight="1" x14ac:dyDescent="0.25">
      <c r="A169" s="77"/>
      <c r="B169" s="77"/>
      <c r="C169" s="77"/>
      <c r="D169" s="77"/>
      <c r="E169" s="77"/>
      <c r="F169" s="148" t="str">
        <f t="shared" si="30"/>
        <v/>
      </c>
      <c r="G169" s="77"/>
      <c r="H169" s="97" t="str">
        <f t="shared" si="31"/>
        <v/>
      </c>
      <c r="I169" s="95">
        <f t="shared" si="32"/>
        <v>0</v>
      </c>
      <c r="J169" s="104">
        <f t="shared" si="33"/>
        <v>0</v>
      </c>
      <c r="K169" s="104">
        <f t="shared" si="34"/>
        <v>0</v>
      </c>
      <c r="L169" s="104">
        <f t="shared" si="35"/>
        <v>0</v>
      </c>
      <c r="M169" s="77"/>
    </row>
    <row r="170" spans="1:13" ht="15" customHeight="1" x14ac:dyDescent="0.25">
      <c r="A170" s="77"/>
      <c r="B170" s="77"/>
      <c r="C170" s="77"/>
      <c r="D170" s="77"/>
      <c r="E170" s="77"/>
      <c r="F170" s="148" t="str">
        <f t="shared" si="30"/>
        <v/>
      </c>
      <c r="G170" s="77"/>
      <c r="H170" s="97" t="str">
        <f t="shared" si="31"/>
        <v/>
      </c>
      <c r="I170" s="95">
        <f t="shared" si="32"/>
        <v>0</v>
      </c>
      <c r="J170" s="104">
        <f t="shared" si="33"/>
        <v>0</v>
      </c>
      <c r="K170" s="104">
        <f t="shared" si="34"/>
        <v>0</v>
      </c>
      <c r="L170" s="104">
        <f t="shared" si="35"/>
        <v>0</v>
      </c>
      <c r="M170" s="77"/>
    </row>
    <row r="171" spans="1:13" ht="15" customHeight="1" x14ac:dyDescent="0.25">
      <c r="A171" s="77"/>
      <c r="B171" s="77"/>
      <c r="C171" s="77"/>
      <c r="D171" s="77"/>
      <c r="E171" s="77"/>
      <c r="F171" s="148" t="str">
        <f t="shared" si="30"/>
        <v/>
      </c>
      <c r="G171" s="77"/>
      <c r="H171" s="97" t="str">
        <f t="shared" si="31"/>
        <v/>
      </c>
      <c r="I171" s="95">
        <f t="shared" si="32"/>
        <v>0</v>
      </c>
      <c r="J171" s="104">
        <f t="shared" si="33"/>
        <v>0</v>
      </c>
      <c r="K171" s="104">
        <f t="shared" si="34"/>
        <v>0</v>
      </c>
      <c r="L171" s="104">
        <f t="shared" si="35"/>
        <v>0</v>
      </c>
      <c r="M171" s="77"/>
    </row>
    <row r="172" spans="1:13" ht="15" customHeight="1" x14ac:dyDescent="0.25">
      <c r="A172" s="77"/>
      <c r="B172" s="77"/>
      <c r="C172" s="77"/>
      <c r="D172" s="77"/>
      <c r="E172" s="77"/>
      <c r="F172" s="148" t="str">
        <f t="shared" si="30"/>
        <v/>
      </c>
      <c r="G172" s="77"/>
      <c r="H172" s="97" t="str">
        <f t="shared" si="31"/>
        <v/>
      </c>
      <c r="I172" s="95">
        <f t="shared" si="32"/>
        <v>0</v>
      </c>
      <c r="J172" s="104">
        <f t="shared" si="33"/>
        <v>0</v>
      </c>
      <c r="K172" s="104">
        <f t="shared" si="34"/>
        <v>0</v>
      </c>
      <c r="L172" s="104">
        <f t="shared" si="35"/>
        <v>0</v>
      </c>
      <c r="M172" s="77"/>
    </row>
    <row r="173" spans="1:13" ht="15" customHeight="1" x14ac:dyDescent="0.25">
      <c r="A173" s="77"/>
      <c r="B173" s="77"/>
      <c r="C173" s="77"/>
      <c r="D173" s="77"/>
      <c r="E173" s="77"/>
      <c r="F173" s="148" t="str">
        <f t="shared" si="30"/>
        <v/>
      </c>
      <c r="G173" s="77"/>
      <c r="H173" s="97" t="str">
        <f t="shared" si="31"/>
        <v/>
      </c>
      <c r="I173" s="95">
        <f t="shared" si="32"/>
        <v>0</v>
      </c>
      <c r="J173" s="104">
        <f t="shared" si="33"/>
        <v>0</v>
      </c>
      <c r="K173" s="104">
        <f t="shared" si="34"/>
        <v>0</v>
      </c>
      <c r="L173" s="104">
        <f t="shared" si="35"/>
        <v>0</v>
      </c>
      <c r="M173" s="77"/>
    </row>
    <row r="174" spans="1:13" ht="15" customHeight="1" x14ac:dyDescent="0.25">
      <c r="A174" s="77"/>
      <c r="B174" s="77"/>
      <c r="C174" s="77"/>
      <c r="D174" s="77"/>
      <c r="E174" s="77"/>
      <c r="F174" s="148" t="str">
        <f t="shared" si="30"/>
        <v/>
      </c>
      <c r="G174" s="77"/>
      <c r="H174" s="97" t="str">
        <f t="shared" si="31"/>
        <v/>
      </c>
      <c r="I174" s="95">
        <f t="shared" si="32"/>
        <v>0</v>
      </c>
      <c r="J174" s="104">
        <f t="shared" si="33"/>
        <v>0</v>
      </c>
      <c r="K174" s="104">
        <f t="shared" si="34"/>
        <v>0</v>
      </c>
      <c r="L174" s="104">
        <f t="shared" si="35"/>
        <v>0</v>
      </c>
      <c r="M174" s="77"/>
    </row>
    <row r="175" spans="1:13" ht="15" customHeight="1" x14ac:dyDescent="0.25">
      <c r="A175" s="77"/>
      <c r="B175" s="77"/>
      <c r="C175" s="77"/>
      <c r="D175" s="77"/>
      <c r="E175" s="77"/>
      <c r="F175" s="148" t="str">
        <f t="shared" si="30"/>
        <v/>
      </c>
      <c r="G175" s="77"/>
      <c r="H175" s="97" t="str">
        <f t="shared" si="31"/>
        <v/>
      </c>
      <c r="I175" s="95">
        <f t="shared" si="32"/>
        <v>0</v>
      </c>
      <c r="J175" s="104">
        <f t="shared" si="33"/>
        <v>0</v>
      </c>
      <c r="K175" s="104">
        <f t="shared" si="34"/>
        <v>0</v>
      </c>
      <c r="L175" s="104">
        <f t="shared" si="35"/>
        <v>0</v>
      </c>
      <c r="M175" s="77"/>
    </row>
    <row r="176" spans="1:13" ht="15" customHeight="1" x14ac:dyDescent="0.25">
      <c r="A176" s="77"/>
      <c r="B176" s="77"/>
      <c r="C176" s="77"/>
      <c r="D176" s="77"/>
      <c r="E176" s="77"/>
      <c r="F176" s="148" t="str">
        <f t="shared" si="30"/>
        <v/>
      </c>
      <c r="G176" s="77"/>
      <c r="H176" s="97" t="str">
        <f t="shared" si="31"/>
        <v/>
      </c>
      <c r="I176" s="95">
        <f t="shared" si="32"/>
        <v>0</v>
      </c>
      <c r="J176" s="104">
        <f t="shared" si="33"/>
        <v>0</v>
      </c>
      <c r="K176" s="104">
        <f t="shared" si="34"/>
        <v>0</v>
      </c>
      <c r="L176" s="104">
        <f t="shared" si="35"/>
        <v>0</v>
      </c>
      <c r="M176" s="77"/>
    </row>
    <row r="177" spans="1:13" ht="15" customHeight="1" x14ac:dyDescent="0.25">
      <c r="A177" s="77"/>
      <c r="B177" s="77"/>
      <c r="C177" s="77"/>
      <c r="D177" s="77"/>
      <c r="E177" s="77"/>
      <c r="F177" s="148" t="str">
        <f t="shared" si="30"/>
        <v/>
      </c>
      <c r="G177" s="77"/>
      <c r="H177" s="97" t="str">
        <f t="shared" si="31"/>
        <v/>
      </c>
      <c r="I177" s="95">
        <f t="shared" si="32"/>
        <v>0</v>
      </c>
      <c r="J177" s="104">
        <f t="shared" si="33"/>
        <v>0</v>
      </c>
      <c r="K177" s="104">
        <f t="shared" si="34"/>
        <v>0</v>
      </c>
      <c r="L177" s="104">
        <f t="shared" si="35"/>
        <v>0</v>
      </c>
      <c r="M177" s="77"/>
    </row>
    <row r="178" spans="1:13" ht="15" customHeight="1" x14ac:dyDescent="0.25">
      <c r="A178" s="77"/>
      <c r="B178" s="77"/>
      <c r="C178" s="77"/>
      <c r="D178" s="77"/>
      <c r="E178" s="77"/>
      <c r="F178" s="148" t="str">
        <f t="shared" si="30"/>
        <v/>
      </c>
      <c r="G178" s="77"/>
      <c r="H178" s="97" t="str">
        <f t="shared" si="31"/>
        <v/>
      </c>
      <c r="I178" s="95">
        <f t="shared" si="32"/>
        <v>0</v>
      </c>
      <c r="J178" s="104">
        <f t="shared" si="33"/>
        <v>0</v>
      </c>
      <c r="K178" s="104">
        <f t="shared" si="34"/>
        <v>0</v>
      </c>
      <c r="L178" s="104">
        <f t="shared" si="35"/>
        <v>0</v>
      </c>
      <c r="M178" s="77"/>
    </row>
    <row r="179" spans="1:13" ht="15" customHeight="1" x14ac:dyDescent="0.25">
      <c r="A179" s="77"/>
      <c r="B179" s="77"/>
      <c r="C179" s="77"/>
      <c r="D179" s="77"/>
      <c r="E179" s="77"/>
      <c r="F179" s="148" t="str">
        <f t="shared" si="30"/>
        <v/>
      </c>
      <c r="G179" s="77"/>
      <c r="H179" s="97" t="str">
        <f t="shared" si="31"/>
        <v/>
      </c>
      <c r="I179" s="95">
        <f t="shared" si="32"/>
        <v>0</v>
      </c>
      <c r="J179" s="104">
        <f t="shared" si="33"/>
        <v>0</v>
      </c>
      <c r="K179" s="104">
        <f t="shared" si="34"/>
        <v>0</v>
      </c>
      <c r="L179" s="104">
        <f t="shared" si="35"/>
        <v>0</v>
      </c>
      <c r="M179" s="77"/>
    </row>
    <row r="180" spans="1:13" ht="15" customHeight="1" x14ac:dyDescent="0.25">
      <c r="A180" s="77"/>
      <c r="B180" s="77"/>
      <c r="C180" s="77"/>
      <c r="D180" s="77"/>
      <c r="E180" s="77"/>
      <c r="F180" s="148" t="str">
        <f t="shared" si="30"/>
        <v/>
      </c>
      <c r="G180" s="77"/>
      <c r="H180" s="97" t="str">
        <f t="shared" si="31"/>
        <v/>
      </c>
      <c r="I180" s="95">
        <f t="shared" si="32"/>
        <v>0</v>
      </c>
      <c r="J180" s="104">
        <f t="shared" si="33"/>
        <v>0</v>
      </c>
      <c r="K180" s="104">
        <f t="shared" si="34"/>
        <v>0</v>
      </c>
      <c r="L180" s="104">
        <f t="shared" si="35"/>
        <v>0</v>
      </c>
      <c r="M180" s="77"/>
    </row>
    <row r="181" spans="1:13" ht="15" customHeight="1" x14ac:dyDescent="0.25">
      <c r="A181" s="77"/>
      <c r="B181" s="77"/>
      <c r="C181" s="77"/>
      <c r="D181" s="77"/>
      <c r="E181" s="77"/>
      <c r="F181" s="148" t="str">
        <f t="shared" si="30"/>
        <v/>
      </c>
      <c r="G181" s="77"/>
      <c r="H181" s="97" t="str">
        <f t="shared" si="31"/>
        <v/>
      </c>
      <c r="I181" s="95">
        <f t="shared" si="32"/>
        <v>0</v>
      </c>
      <c r="J181" s="104">
        <f t="shared" si="33"/>
        <v>0</v>
      </c>
      <c r="K181" s="104">
        <f t="shared" si="34"/>
        <v>0</v>
      </c>
      <c r="L181" s="104">
        <f t="shared" si="35"/>
        <v>0</v>
      </c>
      <c r="M181" s="77"/>
    </row>
    <row r="182" spans="1:13" ht="15" customHeight="1" x14ac:dyDescent="0.25">
      <c r="A182" s="77"/>
      <c r="B182" s="77"/>
      <c r="C182" s="77"/>
      <c r="D182" s="77"/>
      <c r="E182" s="77"/>
      <c r="F182" s="148" t="str">
        <f t="shared" si="30"/>
        <v/>
      </c>
      <c r="G182" s="77"/>
      <c r="H182" s="97" t="str">
        <f t="shared" si="31"/>
        <v/>
      </c>
      <c r="I182" s="95">
        <f t="shared" si="32"/>
        <v>0</v>
      </c>
      <c r="J182" s="104">
        <f t="shared" si="33"/>
        <v>0</v>
      </c>
      <c r="K182" s="104">
        <f t="shared" si="34"/>
        <v>0</v>
      </c>
      <c r="L182" s="104">
        <f t="shared" si="35"/>
        <v>0</v>
      </c>
      <c r="M182" s="77"/>
    </row>
    <row r="183" spans="1:13" ht="15" customHeight="1" x14ac:dyDescent="0.25">
      <c r="A183" s="77"/>
      <c r="B183" s="77"/>
      <c r="C183" s="77"/>
      <c r="D183" s="77"/>
      <c r="E183" s="77"/>
      <c r="F183" s="148" t="str">
        <f t="shared" si="30"/>
        <v/>
      </c>
      <c r="G183" s="77"/>
      <c r="H183" s="97" t="str">
        <f t="shared" si="31"/>
        <v/>
      </c>
      <c r="I183" s="95">
        <f t="shared" si="32"/>
        <v>0</v>
      </c>
      <c r="J183" s="104">
        <f t="shared" si="33"/>
        <v>0</v>
      </c>
      <c r="K183" s="104">
        <f t="shared" si="34"/>
        <v>0</v>
      </c>
      <c r="L183" s="104">
        <f t="shared" si="35"/>
        <v>0</v>
      </c>
      <c r="M183" s="77"/>
    </row>
    <row r="184" spans="1:13" ht="15" customHeight="1" x14ac:dyDescent="0.25">
      <c r="A184" s="77"/>
      <c r="B184" s="77"/>
      <c r="C184" s="77"/>
      <c r="D184" s="77"/>
      <c r="E184" s="77"/>
      <c r="F184" s="148" t="str">
        <f t="shared" si="30"/>
        <v/>
      </c>
      <c r="G184" s="77"/>
      <c r="H184" s="97" t="str">
        <f t="shared" si="31"/>
        <v/>
      </c>
      <c r="I184" s="95">
        <f t="shared" si="32"/>
        <v>0</v>
      </c>
      <c r="J184" s="104">
        <f t="shared" si="33"/>
        <v>0</v>
      </c>
      <c r="K184" s="104">
        <f t="shared" si="34"/>
        <v>0</v>
      </c>
      <c r="L184" s="104">
        <f t="shared" si="35"/>
        <v>0</v>
      </c>
      <c r="M184" s="77"/>
    </row>
    <row r="185" spans="1:13" ht="15" customHeight="1" x14ac:dyDescent="0.25">
      <c r="A185" s="77"/>
      <c r="B185" s="77"/>
      <c r="C185" s="77"/>
      <c r="D185" s="77"/>
      <c r="E185" s="77"/>
      <c r="F185" s="148" t="str">
        <f t="shared" si="30"/>
        <v/>
      </c>
      <c r="G185" s="77"/>
      <c r="H185" s="97" t="str">
        <f t="shared" si="31"/>
        <v/>
      </c>
      <c r="I185" s="95">
        <f t="shared" si="32"/>
        <v>0</v>
      </c>
      <c r="J185" s="104">
        <f t="shared" si="33"/>
        <v>0</v>
      </c>
      <c r="K185" s="104">
        <f t="shared" si="34"/>
        <v>0</v>
      </c>
      <c r="L185" s="104">
        <f t="shared" si="35"/>
        <v>0</v>
      </c>
      <c r="M185" s="77"/>
    </row>
    <row r="186" spans="1:13" ht="15" customHeight="1" x14ac:dyDescent="0.25">
      <c r="A186" s="77"/>
      <c r="B186" s="77"/>
      <c r="C186" s="77"/>
      <c r="D186" s="77"/>
      <c r="E186" s="77"/>
      <c r="F186" s="148" t="str">
        <f t="shared" si="30"/>
        <v/>
      </c>
      <c r="G186" s="77"/>
      <c r="H186" s="97" t="str">
        <f t="shared" si="31"/>
        <v/>
      </c>
      <c r="I186" s="95">
        <f t="shared" si="32"/>
        <v>0</v>
      </c>
      <c r="J186" s="104">
        <f t="shared" si="33"/>
        <v>0</v>
      </c>
      <c r="K186" s="104">
        <f t="shared" si="34"/>
        <v>0</v>
      </c>
      <c r="L186" s="104">
        <f t="shared" si="35"/>
        <v>0</v>
      </c>
      <c r="M186" s="77"/>
    </row>
    <row r="187" spans="1:13" ht="15" customHeight="1" x14ac:dyDescent="0.25">
      <c r="A187" s="77"/>
      <c r="B187" s="77"/>
      <c r="C187" s="77"/>
      <c r="D187" s="77"/>
      <c r="E187" s="77"/>
      <c r="F187" s="148" t="str">
        <f t="shared" si="30"/>
        <v/>
      </c>
      <c r="G187" s="77"/>
      <c r="H187" s="97" t="str">
        <f t="shared" si="31"/>
        <v/>
      </c>
      <c r="I187" s="95">
        <f t="shared" si="32"/>
        <v>0</v>
      </c>
      <c r="J187" s="104">
        <f t="shared" si="33"/>
        <v>0</v>
      </c>
      <c r="K187" s="104">
        <f t="shared" si="34"/>
        <v>0</v>
      </c>
      <c r="L187" s="104">
        <f t="shared" si="35"/>
        <v>0</v>
      </c>
      <c r="M187" s="77"/>
    </row>
    <row r="188" spans="1:13" ht="15" customHeight="1" x14ac:dyDescent="0.25">
      <c r="A188" s="77"/>
      <c r="B188" s="77"/>
      <c r="C188" s="77"/>
      <c r="D188" s="77"/>
      <c r="E188" s="77"/>
      <c r="F188" s="148" t="str">
        <f t="shared" si="30"/>
        <v/>
      </c>
      <c r="G188" s="77"/>
      <c r="H188" s="97" t="str">
        <f t="shared" si="31"/>
        <v/>
      </c>
      <c r="I188" s="95">
        <f t="shared" si="32"/>
        <v>0</v>
      </c>
      <c r="J188" s="104">
        <f t="shared" si="33"/>
        <v>0</v>
      </c>
      <c r="K188" s="104">
        <f t="shared" si="34"/>
        <v>0</v>
      </c>
      <c r="L188" s="104">
        <f t="shared" si="35"/>
        <v>0</v>
      </c>
      <c r="M188" s="77"/>
    </row>
    <row r="189" spans="1:13" ht="15" customHeight="1" x14ac:dyDescent="0.25">
      <c r="A189" s="77"/>
      <c r="B189" s="77"/>
      <c r="C189" s="77"/>
      <c r="D189" s="77"/>
      <c r="E189" s="77"/>
      <c r="F189" s="148" t="str">
        <f t="shared" si="30"/>
        <v/>
      </c>
      <c r="G189" s="77"/>
      <c r="H189" s="97" t="str">
        <f t="shared" si="31"/>
        <v/>
      </c>
      <c r="I189" s="95">
        <f t="shared" si="32"/>
        <v>0</v>
      </c>
      <c r="J189" s="104">
        <f t="shared" si="33"/>
        <v>0</v>
      </c>
      <c r="K189" s="104">
        <f t="shared" si="34"/>
        <v>0</v>
      </c>
      <c r="L189" s="104">
        <f t="shared" si="35"/>
        <v>0</v>
      </c>
      <c r="M189" s="77"/>
    </row>
    <row r="190" spans="1:13" ht="15" customHeight="1" x14ac:dyDescent="0.25">
      <c r="A190" s="77"/>
      <c r="B190" s="77"/>
      <c r="C190" s="77"/>
      <c r="D190" s="77"/>
      <c r="E190" s="77"/>
      <c r="F190" s="148" t="str">
        <f t="shared" si="30"/>
        <v/>
      </c>
      <c r="G190" s="77"/>
      <c r="H190" s="97" t="str">
        <f t="shared" si="31"/>
        <v/>
      </c>
      <c r="I190" s="95">
        <f t="shared" si="32"/>
        <v>0</v>
      </c>
      <c r="J190" s="104">
        <f t="shared" si="33"/>
        <v>0</v>
      </c>
      <c r="K190" s="104">
        <f t="shared" si="34"/>
        <v>0</v>
      </c>
      <c r="L190" s="104">
        <f t="shared" si="35"/>
        <v>0</v>
      </c>
      <c r="M190" s="77"/>
    </row>
    <row r="191" spans="1:13" ht="15" customHeight="1" x14ac:dyDescent="0.25">
      <c r="A191" s="77"/>
      <c r="B191" s="77"/>
      <c r="C191" s="77"/>
      <c r="D191" s="77"/>
      <c r="E191" s="77"/>
      <c r="F191" s="148" t="str">
        <f t="shared" si="30"/>
        <v/>
      </c>
      <c r="G191" s="77"/>
      <c r="H191" s="97" t="str">
        <f t="shared" si="31"/>
        <v/>
      </c>
      <c r="I191" s="95">
        <f t="shared" si="32"/>
        <v>0</v>
      </c>
      <c r="J191" s="104">
        <f t="shared" si="33"/>
        <v>0</v>
      </c>
      <c r="K191" s="104">
        <f t="shared" si="34"/>
        <v>0</v>
      </c>
      <c r="L191" s="104">
        <f t="shared" si="35"/>
        <v>0</v>
      </c>
      <c r="M191" s="77"/>
    </row>
    <row r="192" spans="1:13" ht="15" customHeight="1" x14ac:dyDescent="0.25">
      <c r="A192" s="77"/>
      <c r="B192" s="77"/>
      <c r="C192" s="77"/>
      <c r="D192" s="77"/>
      <c r="E192" s="77"/>
      <c r="F192" s="148" t="str">
        <f t="shared" si="30"/>
        <v/>
      </c>
      <c r="G192" s="77"/>
      <c r="H192" s="97" t="str">
        <f t="shared" si="31"/>
        <v/>
      </c>
      <c r="I192" s="95">
        <f t="shared" si="32"/>
        <v>0</v>
      </c>
      <c r="J192" s="104">
        <f t="shared" si="33"/>
        <v>0</v>
      </c>
      <c r="K192" s="104">
        <f t="shared" si="34"/>
        <v>0</v>
      </c>
      <c r="L192" s="104">
        <f t="shared" si="35"/>
        <v>0</v>
      </c>
      <c r="M192" s="77"/>
    </row>
    <row r="193" spans="1:13" ht="15" customHeight="1" x14ac:dyDescent="0.25">
      <c r="A193" s="77"/>
      <c r="B193" s="77"/>
      <c r="C193" s="77"/>
      <c r="D193" s="77"/>
      <c r="E193" s="77"/>
      <c r="F193" s="148" t="str">
        <f t="shared" si="30"/>
        <v/>
      </c>
      <c r="G193" s="77"/>
      <c r="H193" s="97" t="str">
        <f t="shared" si="31"/>
        <v/>
      </c>
      <c r="I193" s="95">
        <f t="shared" si="32"/>
        <v>0</v>
      </c>
      <c r="J193" s="104">
        <f t="shared" si="33"/>
        <v>0</v>
      </c>
      <c r="K193" s="104">
        <f t="shared" si="34"/>
        <v>0</v>
      </c>
      <c r="L193" s="104">
        <f t="shared" si="35"/>
        <v>0</v>
      </c>
      <c r="M193" s="77"/>
    </row>
    <row r="194" spans="1:13" ht="15" customHeight="1" x14ac:dyDescent="0.25">
      <c r="A194" s="77"/>
      <c r="B194" s="77"/>
      <c r="C194" s="77"/>
      <c r="D194" s="77"/>
      <c r="E194" s="77"/>
      <c r="F194" s="148" t="str">
        <f t="shared" si="30"/>
        <v/>
      </c>
      <c r="G194" s="77"/>
      <c r="H194" s="97" t="str">
        <f t="shared" si="31"/>
        <v/>
      </c>
      <c r="I194" s="95">
        <f t="shared" si="32"/>
        <v>0</v>
      </c>
      <c r="J194" s="104">
        <f t="shared" si="33"/>
        <v>0</v>
      </c>
      <c r="K194" s="104">
        <f t="shared" si="34"/>
        <v>0</v>
      </c>
      <c r="L194" s="104">
        <f t="shared" si="35"/>
        <v>0</v>
      </c>
      <c r="M194" s="77"/>
    </row>
    <row r="195" spans="1:13" ht="15" customHeight="1" x14ac:dyDescent="0.25">
      <c r="A195" s="77"/>
      <c r="B195" s="77"/>
      <c r="C195" s="77"/>
      <c r="D195" s="77"/>
      <c r="E195" s="77"/>
      <c r="F195" s="148" t="str">
        <f t="shared" ref="F195:F202" si="36">IFERROR(VLOOKUP(E195,Materials_Table,2,FALSE()),IFERROR(VLOOKUP(E195,Hardware_Table,2,FALSE()),""))</f>
        <v/>
      </c>
      <c r="G195" s="77"/>
      <c r="H195" s="97" t="str">
        <f t="shared" ref="H195:H202" si="37">IFERROR(VLOOKUP(E195,Materials_Table,5,FALSE()),IFERROR(VLOOKUP(E195,Hardware_Table,5,FALSE()),""))</f>
        <v/>
      </c>
      <c r="I195" s="95">
        <f t="shared" ref="I195:I202" si="38">IFERROR(VLOOKUP(E195,Materials_Table,6,FALSE()),IFERROR(VLOOKUP(E195,Hardware_Table,6,FALSE()),0))</f>
        <v>0</v>
      </c>
      <c r="J195" s="104">
        <f t="shared" ref="J195:J202" si="39">G195*I195</f>
        <v>0</v>
      </c>
      <c r="K195" s="104">
        <f t="shared" ref="K195:K202" si="40">J195*VAT_Rate</f>
        <v>0</v>
      </c>
      <c r="L195" s="104">
        <f t="shared" ref="L195:L202" si="41">J195+K195</f>
        <v>0</v>
      </c>
      <c r="M195" s="77"/>
    </row>
    <row r="196" spans="1:13" ht="15" customHeight="1" x14ac:dyDescent="0.25">
      <c r="A196" s="77"/>
      <c r="B196" s="77"/>
      <c r="C196" s="77"/>
      <c r="D196" s="77"/>
      <c r="E196" s="77"/>
      <c r="F196" s="148" t="str">
        <f t="shared" si="36"/>
        <v/>
      </c>
      <c r="G196" s="77"/>
      <c r="H196" s="97" t="str">
        <f t="shared" si="37"/>
        <v/>
      </c>
      <c r="I196" s="95">
        <f t="shared" si="38"/>
        <v>0</v>
      </c>
      <c r="J196" s="104">
        <f t="shared" si="39"/>
        <v>0</v>
      </c>
      <c r="K196" s="104">
        <f t="shared" si="40"/>
        <v>0</v>
      </c>
      <c r="L196" s="104">
        <f t="shared" si="41"/>
        <v>0</v>
      </c>
      <c r="M196" s="77"/>
    </row>
    <row r="197" spans="1:13" ht="15" customHeight="1" x14ac:dyDescent="0.25">
      <c r="A197" s="77"/>
      <c r="B197" s="77"/>
      <c r="C197" s="77"/>
      <c r="D197" s="77"/>
      <c r="E197" s="77"/>
      <c r="F197" s="148" t="str">
        <f t="shared" si="36"/>
        <v/>
      </c>
      <c r="G197" s="77"/>
      <c r="H197" s="97" t="str">
        <f t="shared" si="37"/>
        <v/>
      </c>
      <c r="I197" s="95">
        <f t="shared" si="38"/>
        <v>0</v>
      </c>
      <c r="J197" s="104">
        <f t="shared" si="39"/>
        <v>0</v>
      </c>
      <c r="K197" s="104">
        <f t="shared" si="40"/>
        <v>0</v>
      </c>
      <c r="L197" s="104">
        <f t="shared" si="41"/>
        <v>0</v>
      </c>
      <c r="M197" s="77"/>
    </row>
    <row r="198" spans="1:13" ht="15" customHeight="1" x14ac:dyDescent="0.25">
      <c r="A198" s="77"/>
      <c r="B198" s="77"/>
      <c r="C198" s="77"/>
      <c r="D198" s="77"/>
      <c r="E198" s="77"/>
      <c r="F198" s="148" t="str">
        <f t="shared" si="36"/>
        <v/>
      </c>
      <c r="G198" s="77"/>
      <c r="H198" s="97" t="str">
        <f t="shared" si="37"/>
        <v/>
      </c>
      <c r="I198" s="95">
        <f t="shared" si="38"/>
        <v>0</v>
      </c>
      <c r="J198" s="104">
        <f t="shared" si="39"/>
        <v>0</v>
      </c>
      <c r="K198" s="104">
        <f t="shared" si="40"/>
        <v>0</v>
      </c>
      <c r="L198" s="104">
        <f t="shared" si="41"/>
        <v>0</v>
      </c>
      <c r="M198" s="77"/>
    </row>
    <row r="199" spans="1:13" ht="15" customHeight="1" x14ac:dyDescent="0.25">
      <c r="A199" s="77"/>
      <c r="B199" s="77"/>
      <c r="C199" s="77"/>
      <c r="D199" s="77"/>
      <c r="E199" s="77"/>
      <c r="F199" s="148" t="str">
        <f t="shared" si="36"/>
        <v/>
      </c>
      <c r="G199" s="77"/>
      <c r="H199" s="97" t="str">
        <f t="shared" si="37"/>
        <v/>
      </c>
      <c r="I199" s="95">
        <f t="shared" si="38"/>
        <v>0</v>
      </c>
      <c r="J199" s="104">
        <f t="shared" si="39"/>
        <v>0</v>
      </c>
      <c r="K199" s="104">
        <f t="shared" si="40"/>
        <v>0</v>
      </c>
      <c r="L199" s="104">
        <f t="shared" si="41"/>
        <v>0</v>
      </c>
      <c r="M199" s="77"/>
    </row>
    <row r="200" spans="1:13" ht="15" customHeight="1" x14ac:dyDescent="0.25">
      <c r="A200" s="77"/>
      <c r="B200" s="77"/>
      <c r="C200" s="77"/>
      <c r="D200" s="77"/>
      <c r="E200" s="77"/>
      <c r="F200" s="148" t="str">
        <f t="shared" si="36"/>
        <v/>
      </c>
      <c r="G200" s="77"/>
      <c r="H200" s="97" t="str">
        <f t="shared" si="37"/>
        <v/>
      </c>
      <c r="I200" s="95">
        <f t="shared" si="38"/>
        <v>0</v>
      </c>
      <c r="J200" s="104">
        <f t="shared" si="39"/>
        <v>0</v>
      </c>
      <c r="K200" s="104">
        <f t="shared" si="40"/>
        <v>0</v>
      </c>
      <c r="L200" s="104">
        <f t="shared" si="41"/>
        <v>0</v>
      </c>
      <c r="M200" s="77"/>
    </row>
    <row r="201" spans="1:13" ht="15" customHeight="1" x14ac:dyDescent="0.25">
      <c r="A201" s="77"/>
      <c r="B201" s="77"/>
      <c r="C201" s="77"/>
      <c r="D201" s="77"/>
      <c r="E201" s="77"/>
      <c r="F201" s="148" t="str">
        <f t="shared" si="36"/>
        <v/>
      </c>
      <c r="G201" s="77"/>
      <c r="H201" s="97" t="str">
        <f t="shared" si="37"/>
        <v/>
      </c>
      <c r="I201" s="95">
        <f t="shared" si="38"/>
        <v>0</v>
      </c>
      <c r="J201" s="104">
        <f t="shared" si="39"/>
        <v>0</v>
      </c>
      <c r="K201" s="104">
        <f t="shared" si="40"/>
        <v>0</v>
      </c>
      <c r="L201" s="104">
        <f t="shared" si="41"/>
        <v>0</v>
      </c>
      <c r="M201" s="77"/>
    </row>
    <row r="202" spans="1:13" ht="15" customHeight="1" x14ac:dyDescent="0.25">
      <c r="A202" s="77"/>
      <c r="B202" s="77"/>
      <c r="C202" s="77"/>
      <c r="D202" s="77"/>
      <c r="E202" s="77"/>
      <c r="F202" s="148" t="str">
        <f t="shared" si="36"/>
        <v/>
      </c>
      <c r="G202" s="77"/>
      <c r="H202" s="97" t="str">
        <f t="shared" si="37"/>
        <v/>
      </c>
      <c r="I202" s="95">
        <f t="shared" si="38"/>
        <v>0</v>
      </c>
      <c r="J202" s="104">
        <f t="shared" si="39"/>
        <v>0</v>
      </c>
      <c r="K202" s="104">
        <f t="shared" si="40"/>
        <v>0</v>
      </c>
      <c r="L202" s="104">
        <f t="shared" si="41"/>
        <v>0</v>
      </c>
      <c r="M202" s="77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M1"/>
  </mergeCells>
  <conditionalFormatting sqref="M3:M202">
    <cfRule type="expression" dxfId="33" priority="2">
      <formula>$M3="Received"</formula>
    </cfRule>
    <cfRule type="expression" dxfId="32" priority="3">
      <formula>$M3="Cancelled"</formula>
    </cfRule>
    <cfRule type="expression" dxfId="31" priority="4">
      <formula>$M3="Sent"</formula>
    </cfRule>
  </conditionalFormatting>
  <dataValidations count="1">
    <dataValidation type="list" allowBlank="1" sqref="M3:M202" xr:uid="{00000000-0002-0000-1600-000000000000}">
      <formula1>"Draft,Approved,Sent,Received,Partial,Cancelled"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BF8F00"/>
  </sheetPr>
  <dimension ref="A1:N3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7109375" defaultRowHeight="15" x14ac:dyDescent="0.25"/>
  <cols>
    <col min="1" max="1" width="30" customWidth="1"/>
    <col min="2" max="14" width="14" customWidth="1"/>
  </cols>
  <sheetData>
    <row r="1" spans="1:14" ht="18" x14ac:dyDescent="0.25">
      <c r="A1" s="60" t="s">
        <v>1082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33" t="s">
        <v>1083</v>
      </c>
      <c r="M1" s="61"/>
      <c r="N1" s="61"/>
    </row>
    <row r="2" spans="1:14" ht="27.75" customHeight="1" x14ac:dyDescent="0.25">
      <c r="A2" s="63" t="s">
        <v>1084</v>
      </c>
      <c r="B2" s="63" t="s">
        <v>1085</v>
      </c>
      <c r="C2" s="63" t="s">
        <v>1086</v>
      </c>
      <c r="D2" s="63" t="s">
        <v>1087</v>
      </c>
      <c r="E2" s="63" t="s">
        <v>1088</v>
      </c>
      <c r="F2" s="63" t="s">
        <v>1089</v>
      </c>
      <c r="G2" s="63" t="s">
        <v>1090</v>
      </c>
      <c r="H2" s="63" t="s">
        <v>1091</v>
      </c>
      <c r="I2" s="63" t="s">
        <v>1092</v>
      </c>
      <c r="J2" s="63" t="s">
        <v>1093</v>
      </c>
      <c r="K2" s="63" t="s">
        <v>1094</v>
      </c>
      <c r="L2" s="63" t="s">
        <v>1095</v>
      </c>
      <c r="M2" s="63" t="s">
        <v>1096</v>
      </c>
      <c r="N2" s="63" t="s">
        <v>1097</v>
      </c>
    </row>
    <row r="3" spans="1:14" x14ac:dyDescent="0.25">
      <c r="A3" s="162" t="s">
        <v>1098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14" x14ac:dyDescent="0.25">
      <c r="A4" s="61" t="inlineStr">
        <is>
          <t xml:space="preserve">  Invoiced revenue (net of VAT)</t>
        </is>
      </c>
      <c r="B4" s="165">
        <f>SUMIFS(Invoices!$G$3:$G$202,Invoices!$E$3:$E$202,"&gt;="&amp;DATE(Report_Year,1,1),Invoices!$E$3:$E$202,"&lt;="&amp;EOMONTH(DATE(Report_Year,1,1),0))</f>
      </c>
      <c r="C4" s="165">
        <f>SUMIFS(Invoices!$G$3:$G$202,Invoices!$E$3:$E$202,"&gt;="&amp;DATE(Report_Year,2,1),Invoices!$E$3:$E$202,"&lt;="&amp;EOMONTH(DATE(Report_Year,2,1),0))</f>
      </c>
      <c r="D4" s="165">
        <f>SUMIFS(Invoices!$G$3:$G$202,Invoices!$E$3:$E$202,"&gt;="&amp;DATE(Report_Year,3,1),Invoices!$E$3:$E$202,"&lt;="&amp;EOMONTH(DATE(Report_Year,3,1),0))</f>
      </c>
      <c r="E4" s="165">
        <f>SUMIFS(Invoices!$G$3:$G$202,Invoices!$E$3:$E$202,"&gt;="&amp;DATE(Report_Year,4,1),Invoices!$E$3:$E$202,"&lt;="&amp;EOMONTH(DATE(Report_Year,4,1),0))</f>
      </c>
      <c r="F4" s="165">
        <f>SUMIFS(Invoices!$G$3:$G$202,Invoices!$E$3:$E$202,"&gt;="&amp;DATE(Report_Year,5,1),Invoices!$E$3:$E$202,"&lt;="&amp;EOMONTH(DATE(Report_Year,5,1),0))</f>
      </c>
      <c r="G4" s="165">
        <f>SUMIFS(Invoices!$G$3:$G$202,Invoices!$E$3:$E$202,"&gt;="&amp;DATE(Report_Year,6,1),Invoices!$E$3:$E$202,"&lt;="&amp;EOMONTH(DATE(Report_Year,6,1),0))</f>
      </c>
      <c r="H4" s="165">
        <f>SUMIFS(Invoices!$G$3:$G$202,Invoices!$E$3:$E$202,"&gt;="&amp;DATE(Report_Year,7,1),Invoices!$E$3:$E$202,"&lt;="&amp;EOMONTH(DATE(Report_Year,7,1),0))</f>
      </c>
      <c r="I4" s="165">
        <f>SUMIFS(Invoices!$G$3:$G$202,Invoices!$E$3:$E$202,"&gt;="&amp;DATE(Report_Year,8,1),Invoices!$E$3:$E$202,"&lt;="&amp;EOMONTH(DATE(Report_Year,8,1),0))</f>
      </c>
      <c r="J4" s="165">
        <f>SUMIFS(Invoices!$G$3:$G$202,Invoices!$E$3:$E$202,"&gt;="&amp;DATE(Report_Year,9,1),Invoices!$E$3:$E$202,"&lt;="&amp;EOMONTH(DATE(Report_Year,9,1),0))</f>
      </c>
      <c r="K4" s="165">
        <f>SUMIFS(Invoices!$G$3:$G$202,Invoices!$E$3:$E$202,"&gt;="&amp;DATE(Report_Year,10,1),Invoices!$E$3:$E$202,"&lt;="&amp;EOMONTH(DATE(Report_Year,10,1),0))</f>
      </c>
      <c r="L4" s="165">
        <f>SUMIFS(Invoices!$G$3:$G$202,Invoices!$E$3:$E$202,"&gt;="&amp;DATE(Report_Year,11,1),Invoices!$E$3:$E$202,"&lt;="&amp;EOMONTH(DATE(Report_Year,11,1),0))</f>
      </c>
      <c r="M4" s="165">
        <f>SUMIFS(Invoices!$G$3:$G$202,Invoices!$E$3:$E$202,"&gt;="&amp;DATE(Report_Year,12,1),Invoices!$E$3:$E$202,"&lt;="&amp;EOMONTH(DATE(Report_Year,12,1),0))</f>
      </c>
      <c r="N4" s="166">
        <f>SUM(B4:M4)</f>
        <v>35557.199999999997</v>
      </c>
    </row>
    <row r="5" spans="1:14" x14ac:dyDescent="0.25">
      <c r="A5" s="164" t="s">
        <v>1100</v>
      </c>
      <c r="B5" s="167">
        <f>B4</f>
      </c>
      <c r="C5" s="167">
        <f>C4</f>
      </c>
      <c r="D5" s="167">
        <f>D4</f>
      </c>
      <c r="E5" s="167">
        <f>E4</f>
      </c>
      <c r="F5" s="167">
        <f>F4</f>
      </c>
      <c r="G5" s="167">
        <f>G4</f>
      </c>
      <c r="H5" s="167">
        <f>H4</f>
      </c>
      <c r="I5" s="167">
        <f>I4</f>
      </c>
      <c r="J5" s="167">
        <f>J4</f>
      </c>
      <c r="K5" s="167">
        <f>K4</f>
      </c>
      <c r="L5" s="167">
        <f>L4</f>
      </c>
      <c r="M5" s="167">
        <f>M4</f>
      </c>
      <c r="N5" s="168">
        <f>SUM(B5:M5)</f>
        <v>35557.199999999997</v>
      </c>
    </row>
    <row r="6" spans="1:14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4" x14ac:dyDescent="0.25">
      <c r="A7" s="162" t="s">
        <v>1101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</row>
    <row r="8" spans="1:14" x14ac:dyDescent="0.25">
      <c r="A8" s="61" t="s">
        <v>1102</v>
      </c>
      <c r="B8" s="165">
        <f>SUMIFS(Purchase_Orders!$J$3:$J$202,Purchase_Orders!$B$3:$B$202,"&gt;="&amp;DATE(Report_Year,1,1),Purchase_Orders!$B$3:$B$202,"&lt;="&amp;EOMONTH(DATE(Report_Year,1,1),0),Purchase_Orders!$M$3:$M$202,"&lt;&gt;Cancelled")</f>
      </c>
      <c r="C8" s="165">
        <f>SUMIFS(Purchase_Orders!$J$3:$J$202,Purchase_Orders!$B$3:$B$202,"&gt;="&amp;DATE(Report_Year,2,1),Purchase_Orders!$B$3:$B$202,"&lt;="&amp;EOMONTH(DATE(Report_Year,2,1),0),Purchase_Orders!$M$3:$M$202,"&lt;&gt;Cancelled")</f>
      </c>
      <c r="D8" s="165">
        <f>SUMIFS(Purchase_Orders!$J$3:$J$202,Purchase_Orders!$B$3:$B$202,"&gt;="&amp;DATE(Report_Year,3,1),Purchase_Orders!$B$3:$B$202,"&lt;="&amp;EOMONTH(DATE(Report_Year,3,1),0),Purchase_Orders!$M$3:$M$202,"&lt;&gt;Cancelled")</f>
      </c>
      <c r="E8" s="165">
        <f>SUMIFS(Purchase_Orders!$J$3:$J$202,Purchase_Orders!$B$3:$B$202,"&gt;="&amp;DATE(Report_Year,4,1),Purchase_Orders!$B$3:$B$202,"&lt;="&amp;EOMONTH(DATE(Report_Year,4,1),0),Purchase_Orders!$M$3:$M$202,"&lt;&gt;Cancelled")</f>
      </c>
      <c r="F8" s="165">
        <f>SUMIFS(Purchase_Orders!$J$3:$J$202,Purchase_Orders!$B$3:$B$202,"&gt;="&amp;DATE(Report_Year,5,1),Purchase_Orders!$B$3:$B$202,"&lt;="&amp;EOMONTH(DATE(Report_Year,5,1),0),Purchase_Orders!$M$3:$M$202,"&lt;&gt;Cancelled")</f>
      </c>
      <c r="G8" s="165">
        <f>SUMIFS(Purchase_Orders!$J$3:$J$202,Purchase_Orders!$B$3:$B$202,"&gt;="&amp;DATE(Report_Year,6,1),Purchase_Orders!$B$3:$B$202,"&lt;="&amp;EOMONTH(DATE(Report_Year,6,1),0),Purchase_Orders!$M$3:$M$202,"&lt;&gt;Cancelled")</f>
      </c>
      <c r="H8" s="165">
        <f>SUMIFS(Purchase_Orders!$J$3:$J$202,Purchase_Orders!$B$3:$B$202,"&gt;="&amp;DATE(Report_Year,7,1),Purchase_Orders!$B$3:$B$202,"&lt;="&amp;EOMONTH(DATE(Report_Year,7,1),0),Purchase_Orders!$M$3:$M$202,"&lt;&gt;Cancelled")</f>
      </c>
      <c r="I8" s="165">
        <f>SUMIFS(Purchase_Orders!$J$3:$J$202,Purchase_Orders!$B$3:$B$202,"&gt;="&amp;DATE(Report_Year,8,1),Purchase_Orders!$B$3:$B$202,"&lt;="&amp;EOMONTH(DATE(Report_Year,8,1),0),Purchase_Orders!$M$3:$M$202,"&lt;&gt;Cancelled")</f>
      </c>
      <c r="J8" s="165">
        <f>SUMIFS(Purchase_Orders!$J$3:$J$202,Purchase_Orders!$B$3:$B$202,"&gt;="&amp;DATE(Report_Year,9,1),Purchase_Orders!$B$3:$B$202,"&lt;="&amp;EOMONTH(DATE(Report_Year,9,1),0),Purchase_Orders!$M$3:$M$202,"&lt;&gt;Cancelled")</f>
      </c>
      <c r="K8" s="165">
        <f>SUMIFS(Purchase_Orders!$J$3:$J$202,Purchase_Orders!$B$3:$B$202,"&gt;="&amp;DATE(Report_Year,10,1),Purchase_Orders!$B$3:$B$202,"&lt;="&amp;EOMONTH(DATE(Report_Year,10,1),0),Purchase_Orders!$M$3:$M$202,"&lt;&gt;Cancelled")</f>
      </c>
      <c r="L8" s="165">
        <f>SUMIFS(Purchase_Orders!$J$3:$J$202,Purchase_Orders!$B$3:$B$202,"&gt;="&amp;DATE(Report_Year,11,1),Purchase_Orders!$B$3:$B$202,"&lt;="&amp;EOMONTH(DATE(Report_Year,11,1),0),Purchase_Orders!$M$3:$M$202,"&lt;&gt;Cancelled")</f>
      </c>
      <c r="M8" s="165">
        <f>SUMIFS(Purchase_Orders!$J$3:$J$202,Purchase_Orders!$B$3:$B$202,"&gt;="&amp;DATE(Report_Year,12,1),Purchase_Orders!$B$3:$B$202,"&lt;="&amp;EOMONTH(DATE(Report_Year,12,1),0),Purchase_Orders!$M$3:$M$202,"&lt;&gt;Cancelled")</f>
      </c>
      <c r="N8" s="166">
        <f>SUM(B8:M8)</f>
        <v>0</v>
      </c>
    </row>
    <row r="9" spans="1:14" x14ac:dyDescent="0.25">
      <c r="A9" s="61" t="s">
        <v>1103</v>
      </c>
      <c r="B9" s="165">
        <f>SUMIFS(Time_Tracking!$J$3:$J$402,Time_Tracking!$A$3:$A$402,"&gt;="&amp;DATE(Report_Year,1,1),Time_Tracking!$A$3:$A$402,"&lt;="&amp;EOMONTH(DATE(Report_Year,1,1),0))</f>
      </c>
      <c r="C9" s="165">
        <f>SUMIFS(Time_Tracking!$J$3:$J$402,Time_Tracking!$A$3:$A$402,"&gt;="&amp;DATE(Report_Year,2,1),Time_Tracking!$A$3:$A$402,"&lt;="&amp;EOMONTH(DATE(Report_Year,2,1),0))</f>
      </c>
      <c r="D9" s="165">
        <f>SUMIFS(Time_Tracking!$J$3:$J$402,Time_Tracking!$A$3:$A$402,"&gt;="&amp;DATE(Report_Year,3,1),Time_Tracking!$A$3:$A$402,"&lt;="&amp;EOMONTH(DATE(Report_Year,3,1),0))</f>
      </c>
      <c r="E9" s="165">
        <f>SUMIFS(Time_Tracking!$J$3:$J$402,Time_Tracking!$A$3:$A$402,"&gt;="&amp;DATE(Report_Year,4,1),Time_Tracking!$A$3:$A$402,"&lt;="&amp;EOMONTH(DATE(Report_Year,4,1),0))</f>
      </c>
      <c r="F9" s="165">
        <f>SUMIFS(Time_Tracking!$J$3:$J$402,Time_Tracking!$A$3:$A$402,"&gt;="&amp;DATE(Report_Year,5,1),Time_Tracking!$A$3:$A$402,"&lt;="&amp;EOMONTH(DATE(Report_Year,5,1),0))</f>
      </c>
      <c r="G9" s="165">
        <f>SUMIFS(Time_Tracking!$J$3:$J$402,Time_Tracking!$A$3:$A$402,"&gt;="&amp;DATE(Report_Year,6,1),Time_Tracking!$A$3:$A$402,"&lt;="&amp;EOMONTH(DATE(Report_Year,6,1),0))</f>
      </c>
      <c r="H9" s="165">
        <f>SUMIFS(Time_Tracking!$J$3:$J$402,Time_Tracking!$A$3:$A$402,"&gt;="&amp;DATE(Report_Year,7,1),Time_Tracking!$A$3:$A$402,"&lt;="&amp;EOMONTH(DATE(Report_Year,7,1),0))</f>
      </c>
      <c r="I9" s="165">
        <f>SUMIFS(Time_Tracking!$J$3:$J$402,Time_Tracking!$A$3:$A$402,"&gt;="&amp;DATE(Report_Year,8,1),Time_Tracking!$A$3:$A$402,"&lt;="&amp;EOMONTH(DATE(Report_Year,8,1),0))</f>
      </c>
      <c r="J9" s="165">
        <f>SUMIFS(Time_Tracking!$J$3:$J$402,Time_Tracking!$A$3:$A$402,"&gt;="&amp;DATE(Report_Year,9,1),Time_Tracking!$A$3:$A$402,"&lt;="&amp;EOMONTH(DATE(Report_Year,9,1),0))</f>
      </c>
      <c r="K9" s="165">
        <f>SUMIFS(Time_Tracking!$J$3:$J$402,Time_Tracking!$A$3:$A$402,"&gt;="&amp;DATE(Report_Year,10,1),Time_Tracking!$A$3:$A$402,"&lt;="&amp;EOMONTH(DATE(Report_Year,10,1),0))</f>
      </c>
      <c r="L9" s="165">
        <f>SUMIFS(Time_Tracking!$J$3:$J$402,Time_Tracking!$A$3:$A$402,"&gt;="&amp;DATE(Report_Year,11,1),Time_Tracking!$A$3:$A$402,"&lt;="&amp;EOMONTH(DATE(Report_Year,11,1),0))</f>
      </c>
      <c r="M9" s="165">
        <f>SUMIFS(Time_Tracking!$J$3:$J$402,Time_Tracking!$A$3:$A$402,"&gt;="&amp;DATE(Report_Year,12,1),Time_Tracking!$A$3:$A$402,"&lt;="&amp;EOMONTH(DATE(Report_Year,12,1),0))</f>
      </c>
      <c r="N9" s="166">
        <f>SUM(B9:M9)</f>
        <v>0</v>
      </c>
    </row>
    <row r="10" spans="1:14" x14ac:dyDescent="0.25">
      <c r="A10" s="61" t="s">
        <v>1104</v>
      </c>
      <c r="B10" s="165">
        <f>SUMIFS(Subcontractors!$G$3:$G$62,Subcontractors!$J$3:$J$62,"&gt;="&amp;DATE(Report_Year,1,1),Subcontractors!$J$3:$J$62,"&lt;="&amp;EOMONTH(DATE(Report_Year,1,1),0),Subcontractors!$K$3:$K$62,"Completed")+SUMIFS(Subcontractors!$G$3:$G$62,Subcontractors!$J$3:$J$62,"&gt;="&amp;DATE(Report_Year,1,1),Subcontractors!$J$3:$J$62,"&lt;="&amp;EOMONTH(DATE(Report_Year,1,1),0),Subcontractors!$K$3:$K$62,"Paid")</f>
      </c>
      <c r="C10" s="165">
        <f>SUMIFS(Subcontractors!$G$3:$G$62,Subcontractors!$J$3:$J$62,"&gt;="&amp;DATE(Report_Year,2,1),Subcontractors!$J$3:$J$62,"&lt;="&amp;EOMONTH(DATE(Report_Year,2,1),0),Subcontractors!$K$3:$K$62,"Completed")+SUMIFS(Subcontractors!$G$3:$G$62,Subcontractors!$J$3:$J$62,"&gt;="&amp;DATE(Report_Year,2,1),Subcontractors!$J$3:$J$62,"&lt;="&amp;EOMONTH(DATE(Report_Year,2,1),0),Subcontractors!$K$3:$K$62,"Paid")</f>
      </c>
      <c r="D10" s="165">
        <f>SUMIFS(Subcontractors!$G$3:$G$62,Subcontractors!$J$3:$J$62,"&gt;="&amp;DATE(Report_Year,3,1),Subcontractors!$J$3:$J$62,"&lt;="&amp;EOMONTH(DATE(Report_Year,3,1),0),Subcontractors!$K$3:$K$62,"Completed")+SUMIFS(Subcontractors!$G$3:$G$62,Subcontractors!$J$3:$J$62,"&gt;="&amp;DATE(Report_Year,3,1),Subcontractors!$J$3:$J$62,"&lt;="&amp;EOMONTH(DATE(Report_Year,3,1),0),Subcontractors!$K$3:$K$62,"Paid")</f>
      </c>
      <c r="E10" s="165">
        <f>SUMIFS(Subcontractors!$G$3:$G$62,Subcontractors!$J$3:$J$62,"&gt;="&amp;DATE(Report_Year,4,1),Subcontractors!$J$3:$J$62,"&lt;="&amp;EOMONTH(DATE(Report_Year,4,1),0),Subcontractors!$K$3:$K$62,"Completed")+SUMIFS(Subcontractors!$G$3:$G$62,Subcontractors!$J$3:$J$62,"&gt;="&amp;DATE(Report_Year,4,1),Subcontractors!$J$3:$J$62,"&lt;="&amp;EOMONTH(DATE(Report_Year,4,1),0),Subcontractors!$K$3:$K$62,"Paid")</f>
      </c>
      <c r="F10" s="165">
        <f>SUMIFS(Subcontractors!$G$3:$G$62,Subcontractors!$J$3:$J$62,"&gt;="&amp;DATE(Report_Year,5,1),Subcontractors!$J$3:$J$62,"&lt;="&amp;EOMONTH(DATE(Report_Year,5,1),0),Subcontractors!$K$3:$K$62,"Completed")+SUMIFS(Subcontractors!$G$3:$G$62,Subcontractors!$J$3:$J$62,"&gt;="&amp;DATE(Report_Year,5,1),Subcontractors!$J$3:$J$62,"&lt;="&amp;EOMONTH(DATE(Report_Year,5,1),0),Subcontractors!$K$3:$K$62,"Paid")</f>
      </c>
      <c r="G10" s="165">
        <f>SUMIFS(Subcontractors!$G$3:$G$62,Subcontractors!$J$3:$J$62,"&gt;="&amp;DATE(Report_Year,6,1),Subcontractors!$J$3:$J$62,"&lt;="&amp;EOMONTH(DATE(Report_Year,6,1),0),Subcontractors!$K$3:$K$62,"Completed")+SUMIFS(Subcontractors!$G$3:$G$62,Subcontractors!$J$3:$J$62,"&gt;="&amp;DATE(Report_Year,6,1),Subcontractors!$J$3:$J$62,"&lt;="&amp;EOMONTH(DATE(Report_Year,6,1),0),Subcontractors!$K$3:$K$62,"Paid")</f>
      </c>
      <c r="H10" s="165">
        <f>SUMIFS(Subcontractors!$G$3:$G$62,Subcontractors!$J$3:$J$62,"&gt;="&amp;DATE(Report_Year,7,1),Subcontractors!$J$3:$J$62,"&lt;="&amp;EOMONTH(DATE(Report_Year,7,1),0),Subcontractors!$K$3:$K$62,"Completed")+SUMIFS(Subcontractors!$G$3:$G$62,Subcontractors!$J$3:$J$62,"&gt;="&amp;DATE(Report_Year,7,1),Subcontractors!$J$3:$J$62,"&lt;="&amp;EOMONTH(DATE(Report_Year,7,1),0),Subcontractors!$K$3:$K$62,"Paid")</f>
      </c>
      <c r="I10" s="165">
        <f>SUMIFS(Subcontractors!$G$3:$G$62,Subcontractors!$J$3:$J$62,"&gt;="&amp;DATE(Report_Year,8,1),Subcontractors!$J$3:$J$62,"&lt;="&amp;EOMONTH(DATE(Report_Year,8,1),0),Subcontractors!$K$3:$K$62,"Completed")+SUMIFS(Subcontractors!$G$3:$G$62,Subcontractors!$J$3:$J$62,"&gt;="&amp;DATE(Report_Year,8,1),Subcontractors!$J$3:$J$62,"&lt;="&amp;EOMONTH(DATE(Report_Year,8,1),0),Subcontractors!$K$3:$K$62,"Paid")</f>
      </c>
      <c r="J10" s="165">
        <f>SUMIFS(Subcontractors!$G$3:$G$62,Subcontractors!$J$3:$J$62,"&gt;="&amp;DATE(Report_Year,9,1),Subcontractors!$J$3:$J$62,"&lt;="&amp;EOMONTH(DATE(Report_Year,9,1),0),Subcontractors!$K$3:$K$62,"Completed")+SUMIFS(Subcontractors!$G$3:$G$62,Subcontractors!$J$3:$J$62,"&gt;="&amp;DATE(Report_Year,9,1),Subcontractors!$J$3:$J$62,"&lt;="&amp;EOMONTH(DATE(Report_Year,9,1),0),Subcontractors!$K$3:$K$62,"Paid")</f>
      </c>
      <c r="K10" s="165">
        <f>SUMIFS(Subcontractors!$G$3:$G$62,Subcontractors!$J$3:$J$62,"&gt;="&amp;DATE(Report_Year,10,1),Subcontractors!$J$3:$J$62,"&lt;="&amp;EOMONTH(DATE(Report_Year,10,1),0),Subcontractors!$K$3:$K$62,"Completed")+SUMIFS(Subcontractors!$G$3:$G$62,Subcontractors!$J$3:$J$62,"&gt;="&amp;DATE(Report_Year,10,1),Subcontractors!$J$3:$J$62,"&lt;="&amp;EOMONTH(DATE(Report_Year,10,1),0),Subcontractors!$K$3:$K$62,"Paid")</f>
      </c>
      <c r="L10" s="165">
        <f>SUMIFS(Subcontractors!$G$3:$G$62,Subcontractors!$J$3:$J$62,"&gt;="&amp;DATE(Report_Year,11,1),Subcontractors!$J$3:$J$62,"&lt;="&amp;EOMONTH(DATE(Report_Year,11,1),0),Subcontractors!$K$3:$K$62,"Completed")+SUMIFS(Subcontractors!$G$3:$G$62,Subcontractors!$J$3:$J$62,"&gt;="&amp;DATE(Report_Year,11,1),Subcontractors!$J$3:$J$62,"&lt;="&amp;EOMONTH(DATE(Report_Year,11,1),0),Subcontractors!$K$3:$K$62,"Paid")</f>
      </c>
      <c r="M10" s="165">
        <f>SUMIFS(Subcontractors!$G$3:$G$62,Subcontractors!$J$3:$J$62,"&gt;="&amp;DATE(Report_Year,12,1),Subcontractors!$J$3:$J$62,"&lt;="&amp;EOMONTH(DATE(Report_Year,12,1),0),Subcontractors!$K$3:$K$62,"Completed")+SUMIFS(Subcontractors!$G$3:$G$62,Subcontractors!$J$3:$J$62,"&gt;="&amp;DATE(Report_Year,12,1),Subcontractors!$J$3:$J$62,"&lt;="&amp;EOMONTH(DATE(Report_Year,12,1),0),Subcontractors!$K$3:$K$62,"Paid")</f>
      </c>
      <c r="N10" s="166">
        <f>SUM(B10:M10)</f>
        <v>0</v>
      </c>
    </row>
    <row r="11" spans="1:14" x14ac:dyDescent="0.25">
      <c r="A11" s="61" t="s">
        <v>1105</v>
      </c>
      <c r="B11" s="165">
        <f>SUMIFS(Logistics!$K$3:$K$102,Logistics!$E$3:$E$102,"&gt;="&amp;DATE(Report_Year,1,1),Logistics!$E$3:$E$102,"&lt;="&amp;EOMONTH(DATE(Report_Year,1,1),0))</f>
      </c>
      <c r="C11" s="165">
        <f>SUMIFS(Logistics!$K$3:$K$102,Logistics!$E$3:$E$102,"&gt;="&amp;DATE(Report_Year,2,1),Logistics!$E$3:$E$102,"&lt;="&amp;EOMONTH(DATE(Report_Year,2,1),0))</f>
      </c>
      <c r="D11" s="165">
        <f>SUMIFS(Logistics!$K$3:$K$102,Logistics!$E$3:$E$102,"&gt;="&amp;DATE(Report_Year,3,1),Logistics!$E$3:$E$102,"&lt;="&amp;EOMONTH(DATE(Report_Year,3,1),0))</f>
      </c>
      <c r="E11" s="165">
        <f>SUMIFS(Logistics!$K$3:$K$102,Logistics!$E$3:$E$102,"&gt;="&amp;DATE(Report_Year,4,1),Logistics!$E$3:$E$102,"&lt;="&amp;EOMONTH(DATE(Report_Year,4,1),0))</f>
      </c>
      <c r="F11" s="165">
        <f>SUMIFS(Logistics!$K$3:$K$102,Logistics!$E$3:$E$102,"&gt;="&amp;DATE(Report_Year,5,1),Logistics!$E$3:$E$102,"&lt;="&amp;EOMONTH(DATE(Report_Year,5,1),0))</f>
      </c>
      <c r="G11" s="165">
        <f>SUMIFS(Logistics!$K$3:$K$102,Logistics!$E$3:$E$102,"&gt;="&amp;DATE(Report_Year,6,1),Logistics!$E$3:$E$102,"&lt;="&amp;EOMONTH(DATE(Report_Year,6,1),0))</f>
      </c>
      <c r="H11" s="165">
        <f>SUMIFS(Logistics!$K$3:$K$102,Logistics!$E$3:$E$102,"&gt;="&amp;DATE(Report_Year,7,1),Logistics!$E$3:$E$102,"&lt;="&amp;EOMONTH(DATE(Report_Year,7,1),0))</f>
      </c>
      <c r="I11" s="165">
        <f>SUMIFS(Logistics!$K$3:$K$102,Logistics!$E$3:$E$102,"&gt;="&amp;DATE(Report_Year,8,1),Logistics!$E$3:$E$102,"&lt;="&amp;EOMONTH(DATE(Report_Year,8,1),0))</f>
      </c>
      <c r="J11" s="165">
        <f>SUMIFS(Logistics!$K$3:$K$102,Logistics!$E$3:$E$102,"&gt;="&amp;DATE(Report_Year,9,1),Logistics!$E$3:$E$102,"&lt;="&amp;EOMONTH(DATE(Report_Year,9,1),0))</f>
      </c>
      <c r="K11" s="165">
        <f>SUMIFS(Logistics!$K$3:$K$102,Logistics!$E$3:$E$102,"&gt;="&amp;DATE(Report_Year,10,1),Logistics!$E$3:$E$102,"&lt;="&amp;EOMONTH(DATE(Report_Year,10,1),0))</f>
      </c>
      <c r="L11" s="165">
        <f>SUMIFS(Logistics!$K$3:$K$102,Logistics!$E$3:$E$102,"&gt;="&amp;DATE(Report_Year,11,1),Logistics!$E$3:$E$102,"&lt;="&amp;EOMONTH(DATE(Report_Year,11,1),0))</f>
      </c>
      <c r="M11" s="165">
        <f>SUMIFS(Logistics!$K$3:$K$102,Logistics!$E$3:$E$102,"&gt;="&amp;DATE(Report_Year,12,1),Logistics!$E$3:$E$102,"&lt;="&amp;EOMONTH(DATE(Report_Year,12,1),0))</f>
      </c>
      <c r="N11" s="166">
        <f>SUM(B11:M11)</f>
        <v>0</v>
      </c>
    </row>
    <row r="12" spans="1:14" x14ac:dyDescent="0.25">
      <c r="A12" s="164" t="s">
        <v>1106</v>
      </c>
      <c r="B12" s="167">
        <f>SUM(B8:B11)</f>
      </c>
      <c r="C12" s="167">
        <f>SUM(C8:C11)</f>
      </c>
      <c r="D12" s="167">
        <f>SUM(D8:D11)</f>
      </c>
      <c r="E12" s="167">
        <f>SUM(E8:E11)</f>
      </c>
      <c r="F12" s="167">
        <f>SUM(F8:F11)</f>
      </c>
      <c r="G12" s="167">
        <f>SUM(G8:G11)</f>
      </c>
      <c r="H12" s="167">
        <f>SUM(H8:H11)</f>
      </c>
      <c r="I12" s="167">
        <f>SUM(I8:I11)</f>
      </c>
      <c r="J12" s="167">
        <f>SUM(J8:J11)</f>
      </c>
      <c r="K12" s="167">
        <f>SUM(K8:K11)</f>
      </c>
      <c r="L12" s="167">
        <f>SUM(L8:L11)</f>
      </c>
      <c r="M12" s="167">
        <f>SUM(M8:M11)</f>
      </c>
      <c r="N12" s="168">
        <f>SUM(B12:M12)</f>
      </c>
    </row>
    <row r="13" spans="1:14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</row>
    <row r="14" spans="1:14" x14ac:dyDescent="0.25">
      <c r="A14" s="164" t="s">
        <v>1107</v>
      </c>
      <c r="B14" s="169">
        <f>B5-B12</f>
      </c>
      <c r="C14" s="169">
        <f>C5-C12</f>
      </c>
      <c r="D14" s="169">
        <f>D5-D12</f>
      </c>
      <c r="E14" s="169">
        <f>E5-E12</f>
      </c>
      <c r="F14" s="169">
        <f>F5-F12</f>
      </c>
      <c r="G14" s="169">
        <f>G5-G12</f>
      </c>
      <c r="H14" s="169">
        <f>H5-H12</f>
      </c>
      <c r="I14" s="169">
        <f>I5-I12</f>
      </c>
      <c r="J14" s="169">
        <f>J5-J12</f>
      </c>
      <c r="K14" s="169">
        <f>K5-K12</f>
      </c>
      <c r="L14" s="169">
        <f>L5-L12</f>
      </c>
      <c r="M14" s="169">
        <f>M5-M12</f>
      </c>
      <c r="N14" s="168">
        <f>SUM(B14:M14)</f>
      </c>
    </row>
    <row r="15" spans="1:14" x14ac:dyDescent="0.25">
      <c r="A15" s="61" t="s">
        <v>1108</v>
      </c>
      <c r="B15" s="170">
        <f>IFERROR(B14/B5,0)</f>
      </c>
      <c r="C15" s="170">
        <f>IFERROR(C14/C5,0)</f>
      </c>
      <c r="D15" s="170">
        <f>IFERROR(D14/D5,0)</f>
      </c>
      <c r="E15" s="170">
        <f>IFERROR(E14/E5,0)</f>
      </c>
      <c r="F15" s="170">
        <f>IFERROR(F14/F5,0)</f>
      </c>
      <c r="G15" s="170">
        <f>IFERROR(G14/G5,0)</f>
      </c>
      <c r="H15" s="170">
        <f>IFERROR(H14/H5,0)</f>
      </c>
      <c r="I15" s="170">
        <f>IFERROR(I14/I5,0)</f>
      </c>
      <c r="J15" s="170">
        <f>IFERROR(J14/J5,0)</f>
      </c>
      <c r="K15" s="170">
        <f>IFERROR(K14/K5,0)</f>
      </c>
      <c r="L15" s="170">
        <f>IFERROR(L14/L5,0)</f>
      </c>
      <c r="M15" s="170">
        <f>IFERROR(M14/M5,0)</f>
      </c>
      <c r="N15" s="171">
        <f>IFERROR(N14/N5,0)</f>
      </c>
    </row>
    <row r="16" spans="1:14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</row>
    <row r="17" spans="1:14" x14ac:dyDescent="0.25">
      <c r="A17" s="162" t="s">
        <v>1109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</row>
    <row r="18" spans="1:14" x14ac:dyDescent="0.25">
      <c r="A18" s="61" t="s">
        <v>1110</v>
      </c>
      <c r="B18" s="165">
        <f>SUMIFS(Exp_Net,Exp_Category,"Rent",Exp_Date,"&gt;="&amp;DATE(Report_Year,1,1),Exp_Date,"&lt;="&amp;EOMONTH(DATE(Report_Year,1,1),0))</f>
        <v>1800</v>
      </c>
      <c r="C18" s="165">
        <f>SUMIFS(Exp_Net,Exp_Category,"Rent",Exp_Date,"&gt;="&amp;DATE(Report_Year,2,1),Exp_Date,"&lt;="&amp;EOMONTH(DATE(Report_Year,2,1),0))</f>
        <v>0</v>
      </c>
      <c r="D18" s="165">
        <f>SUMIFS(Exp_Net,Exp_Category,"Rent",Exp_Date,"&gt;="&amp;DATE(Report_Year,3,1),Exp_Date,"&lt;="&amp;EOMONTH(DATE(Report_Year,3,1),0))</f>
        <v>0</v>
      </c>
      <c r="E18" s="165">
        <f>SUMIFS(Exp_Net,Exp_Category,"Rent",Exp_Date,"&gt;="&amp;DATE(Report_Year,4,1),Exp_Date,"&lt;="&amp;EOMONTH(DATE(Report_Year,4,1),0))</f>
        <v>0</v>
      </c>
      <c r="F18" s="165">
        <f>SUMIFS(Exp_Net,Exp_Category,"Rent",Exp_Date,"&gt;="&amp;DATE(Report_Year,5,1),Exp_Date,"&lt;="&amp;EOMONTH(DATE(Report_Year,5,1),0))</f>
        <v>0</v>
      </c>
      <c r="G18" s="165">
        <f>SUMIFS(Exp_Net,Exp_Category,"Rent",Exp_Date,"&gt;="&amp;DATE(Report_Year,6,1),Exp_Date,"&lt;="&amp;EOMONTH(DATE(Report_Year,6,1),0))</f>
        <v>0</v>
      </c>
      <c r="H18" s="165">
        <f>SUMIFS(Exp_Net,Exp_Category,"Rent",Exp_Date,"&gt;="&amp;DATE(Report_Year,7,1),Exp_Date,"&lt;="&amp;EOMONTH(DATE(Report_Year,7,1),0))</f>
        <v>0</v>
      </c>
      <c r="I18" s="165">
        <f>SUMIFS(Exp_Net,Exp_Category,"Rent",Exp_Date,"&gt;="&amp;DATE(Report_Year,8,1),Exp_Date,"&lt;="&amp;EOMONTH(DATE(Report_Year,8,1),0))</f>
        <v>0</v>
      </c>
      <c r="J18" s="165">
        <f>SUMIFS(Exp_Net,Exp_Category,"Rent",Exp_Date,"&gt;="&amp;DATE(Report_Year,9,1),Exp_Date,"&lt;="&amp;EOMONTH(DATE(Report_Year,9,1),0))</f>
        <v>0</v>
      </c>
      <c r="K18" s="165">
        <f>SUMIFS(Exp_Net,Exp_Category,"Rent",Exp_Date,"&gt;="&amp;DATE(Report_Year,10,1),Exp_Date,"&lt;="&amp;EOMONTH(DATE(Report_Year,10,1),0))</f>
        <v>0</v>
      </c>
      <c r="L18" s="165">
        <f>SUMIFS(Exp_Net,Exp_Category,"Rent",Exp_Date,"&gt;="&amp;DATE(Report_Year,11,1),Exp_Date,"&lt;="&amp;EOMONTH(DATE(Report_Year,11,1),0))</f>
        <v>0</v>
      </c>
      <c r="M18" s="165">
        <f>SUMIFS(Exp_Net,Exp_Category,"Rent",Exp_Date,"&gt;="&amp;DATE(Report_Year,12,1),Exp_Date,"&lt;="&amp;EOMONTH(DATE(Report_Year,12,1),0))</f>
        <v>0</v>
      </c>
      <c r="N18" s="166">
        <f t="shared" ref="N18:N27" si="3">SUM(B18:M18)</f>
        <v>1800</v>
      </c>
    </row>
    <row r="19" spans="1:14" x14ac:dyDescent="0.25">
      <c r="A19" s="61" t="s">
        <v>1111</v>
      </c>
      <c r="B19" s="165">
        <f>SUMIFS(Exp_Net,Exp_Category,"Utilities",Exp_Date,"&gt;="&amp;DATE(Report_Year,1,1),Exp_Date,"&lt;="&amp;EOMONTH(DATE(Report_Year,1,1),0))</f>
        <v>537.82000000000005</v>
      </c>
      <c r="C19" s="165">
        <f>SUMIFS(Exp_Net,Exp_Category,"Utilities",Exp_Date,"&gt;="&amp;DATE(Report_Year,2,1),Exp_Date,"&lt;="&amp;EOMONTH(DATE(Report_Year,2,1),0))</f>
        <v>0</v>
      </c>
      <c r="D19" s="165">
        <f>SUMIFS(Exp_Net,Exp_Category,"Utilities",Exp_Date,"&gt;="&amp;DATE(Report_Year,3,1),Exp_Date,"&lt;="&amp;EOMONTH(DATE(Report_Year,3,1),0))</f>
        <v>0</v>
      </c>
      <c r="E19" s="165">
        <f>SUMIFS(Exp_Net,Exp_Category,"Utilities",Exp_Date,"&gt;="&amp;DATE(Report_Year,4,1),Exp_Date,"&lt;="&amp;EOMONTH(DATE(Report_Year,4,1),0))</f>
        <v>89.92</v>
      </c>
      <c r="F19" s="165">
        <f>SUMIFS(Exp_Net,Exp_Category,"Utilities",Exp_Date,"&gt;="&amp;DATE(Report_Year,5,1),Exp_Date,"&lt;="&amp;EOMONTH(DATE(Report_Year,5,1),0))</f>
        <v>0</v>
      </c>
      <c r="G19" s="165">
        <f>SUMIFS(Exp_Net,Exp_Category,"Utilities",Exp_Date,"&gt;="&amp;DATE(Report_Year,6,1),Exp_Date,"&lt;="&amp;EOMONTH(DATE(Report_Year,6,1),0))</f>
        <v>0</v>
      </c>
      <c r="H19" s="165">
        <f>SUMIFS(Exp_Net,Exp_Category,"Utilities",Exp_Date,"&gt;="&amp;DATE(Report_Year,7,1),Exp_Date,"&lt;="&amp;EOMONTH(DATE(Report_Year,7,1),0))</f>
        <v>0</v>
      </c>
      <c r="I19" s="165">
        <f>SUMIFS(Exp_Net,Exp_Category,"Utilities",Exp_Date,"&gt;="&amp;DATE(Report_Year,8,1),Exp_Date,"&lt;="&amp;EOMONTH(DATE(Report_Year,8,1),0))</f>
        <v>0</v>
      </c>
      <c r="J19" s="165">
        <f>SUMIFS(Exp_Net,Exp_Category,"Utilities",Exp_Date,"&gt;="&amp;DATE(Report_Year,9,1),Exp_Date,"&lt;="&amp;EOMONTH(DATE(Report_Year,9,1),0))</f>
        <v>0</v>
      </c>
      <c r="K19" s="165">
        <f>SUMIFS(Exp_Net,Exp_Category,"Utilities",Exp_Date,"&gt;="&amp;DATE(Report_Year,10,1),Exp_Date,"&lt;="&amp;EOMONTH(DATE(Report_Year,10,1),0))</f>
        <v>0</v>
      </c>
      <c r="L19" s="165">
        <f>SUMIFS(Exp_Net,Exp_Category,"Utilities",Exp_Date,"&gt;="&amp;DATE(Report_Year,11,1),Exp_Date,"&lt;="&amp;EOMONTH(DATE(Report_Year,11,1),0))</f>
        <v>0</v>
      </c>
      <c r="M19" s="165">
        <f>SUMIFS(Exp_Net,Exp_Category,"Utilities",Exp_Date,"&gt;="&amp;DATE(Report_Year,12,1),Exp_Date,"&lt;="&amp;EOMONTH(DATE(Report_Year,12,1),0))</f>
        <v>0</v>
      </c>
      <c r="N19" s="166">
        <f t="shared" si="3"/>
        <v>627.74</v>
      </c>
    </row>
    <row r="20" spans="1:14" x14ac:dyDescent="0.25">
      <c r="A20" s="61" t="s">
        <v>1112</v>
      </c>
      <c r="B20" s="165">
        <f>SUMIFS(Exp_Net,Exp_Category,"Fuel",Exp_Date,"&gt;="&amp;DATE(Report_Year,1,1),Exp_Date,"&lt;="&amp;EOMONTH(DATE(Report_Year,1,1),0))+SUMIFS(Exp_Net,Exp_Category,"Vehicle",Exp_Date,"&gt;="&amp;DATE(Report_Year,1,1),Exp_Date,"&lt;="&amp;EOMONTH(DATE(Report_Year,1,1),0))</f>
        <v>0</v>
      </c>
      <c r="C20" s="165">
        <f>SUMIFS(Exp_Net,Exp_Category,"Fuel",Exp_Date,"&gt;="&amp;DATE(Report_Year,2,1),Exp_Date,"&lt;="&amp;EOMONTH(DATE(Report_Year,2,1),0))+SUMIFS(Exp_Net,Exp_Category,"Vehicle",Exp_Date,"&gt;="&amp;DATE(Report_Year,2,1),Exp_Date,"&lt;="&amp;EOMONTH(DATE(Report_Year,2,1),0))</f>
        <v>436.97</v>
      </c>
      <c r="D20" s="165">
        <f>SUMIFS(Exp_Net,Exp_Category,"Fuel",Exp_Date,"&gt;="&amp;DATE(Report_Year,3,1),Exp_Date,"&lt;="&amp;EOMONTH(DATE(Report_Year,3,1),0))+SUMIFS(Exp_Net,Exp_Category,"Vehicle",Exp_Date,"&gt;="&amp;DATE(Report_Year,3,1),Exp_Date,"&lt;="&amp;EOMONTH(DATE(Report_Year,3,1),0))</f>
        <v>0</v>
      </c>
      <c r="E20" s="165">
        <f>SUMIFS(Exp_Net,Exp_Category,"Fuel",Exp_Date,"&gt;="&amp;DATE(Report_Year,4,1),Exp_Date,"&lt;="&amp;EOMONTH(DATE(Report_Year,4,1),0))+SUMIFS(Exp_Net,Exp_Category,"Vehicle",Exp_Date,"&gt;="&amp;DATE(Report_Year,4,1),Exp_Date,"&lt;="&amp;EOMONTH(DATE(Report_Year,4,1),0))</f>
        <v>320</v>
      </c>
      <c r="F20" s="165">
        <f>SUMIFS(Exp_Net,Exp_Category,"Fuel",Exp_Date,"&gt;="&amp;DATE(Report_Year,5,1),Exp_Date,"&lt;="&amp;EOMONTH(DATE(Report_Year,5,1),0))+SUMIFS(Exp_Net,Exp_Category,"Vehicle",Exp_Date,"&gt;="&amp;DATE(Report_Year,5,1),Exp_Date,"&lt;="&amp;EOMONTH(DATE(Report_Year,5,1),0))</f>
        <v>0</v>
      </c>
      <c r="G20" s="165">
        <f>SUMIFS(Exp_Net,Exp_Category,"Fuel",Exp_Date,"&gt;="&amp;DATE(Report_Year,6,1),Exp_Date,"&lt;="&amp;EOMONTH(DATE(Report_Year,6,1),0))+SUMIFS(Exp_Net,Exp_Category,"Vehicle",Exp_Date,"&gt;="&amp;DATE(Report_Year,6,1),Exp_Date,"&lt;="&amp;EOMONTH(DATE(Report_Year,6,1),0))</f>
        <v>0</v>
      </c>
      <c r="H20" s="165">
        <f>SUMIFS(Exp_Net,Exp_Category,"Fuel",Exp_Date,"&gt;="&amp;DATE(Report_Year,7,1),Exp_Date,"&lt;="&amp;EOMONTH(DATE(Report_Year,7,1),0))+SUMIFS(Exp_Net,Exp_Category,"Vehicle",Exp_Date,"&gt;="&amp;DATE(Report_Year,7,1),Exp_Date,"&lt;="&amp;EOMONTH(DATE(Report_Year,7,1),0))</f>
        <v>0</v>
      </c>
      <c r="I20" s="165">
        <f>SUMIFS(Exp_Net,Exp_Category,"Fuel",Exp_Date,"&gt;="&amp;DATE(Report_Year,8,1),Exp_Date,"&lt;="&amp;EOMONTH(DATE(Report_Year,8,1),0))+SUMIFS(Exp_Net,Exp_Category,"Vehicle",Exp_Date,"&gt;="&amp;DATE(Report_Year,8,1),Exp_Date,"&lt;="&amp;EOMONTH(DATE(Report_Year,8,1),0))</f>
        <v>0</v>
      </c>
      <c r="J20" s="165">
        <f>SUMIFS(Exp_Net,Exp_Category,"Fuel",Exp_Date,"&gt;="&amp;DATE(Report_Year,9,1),Exp_Date,"&lt;="&amp;EOMONTH(DATE(Report_Year,9,1),0))+SUMIFS(Exp_Net,Exp_Category,"Vehicle",Exp_Date,"&gt;="&amp;DATE(Report_Year,9,1),Exp_Date,"&lt;="&amp;EOMONTH(DATE(Report_Year,9,1),0))</f>
        <v>0</v>
      </c>
      <c r="K20" s="165">
        <f>SUMIFS(Exp_Net,Exp_Category,"Fuel",Exp_Date,"&gt;="&amp;DATE(Report_Year,10,1),Exp_Date,"&lt;="&amp;EOMONTH(DATE(Report_Year,10,1),0))+SUMIFS(Exp_Net,Exp_Category,"Vehicle",Exp_Date,"&gt;="&amp;DATE(Report_Year,10,1),Exp_Date,"&lt;="&amp;EOMONTH(DATE(Report_Year,10,1),0))</f>
        <v>0</v>
      </c>
      <c r="L20" s="165">
        <f>SUMIFS(Exp_Net,Exp_Category,"Fuel",Exp_Date,"&gt;="&amp;DATE(Report_Year,11,1),Exp_Date,"&lt;="&amp;EOMONTH(DATE(Report_Year,11,1),0))+SUMIFS(Exp_Net,Exp_Category,"Vehicle",Exp_Date,"&gt;="&amp;DATE(Report_Year,11,1),Exp_Date,"&lt;="&amp;EOMONTH(DATE(Report_Year,11,1),0))</f>
        <v>0</v>
      </c>
      <c r="M20" s="165">
        <f>SUMIFS(Exp_Net,Exp_Category,"Fuel",Exp_Date,"&gt;="&amp;DATE(Report_Year,12,1),Exp_Date,"&lt;="&amp;EOMONTH(DATE(Report_Year,12,1),0))+SUMIFS(Exp_Net,Exp_Category,"Vehicle",Exp_Date,"&gt;="&amp;DATE(Report_Year,12,1),Exp_Date,"&lt;="&amp;EOMONTH(DATE(Report_Year,12,1),0))</f>
        <v>0</v>
      </c>
      <c r="N20" s="166">
        <f t="shared" si="3"/>
        <v>756.97</v>
      </c>
    </row>
    <row r="21" spans="1:14" x14ac:dyDescent="0.25">
      <c r="A21" s="61" t="s">
        <v>1113</v>
      </c>
      <c r="B21" s="165">
        <f>SUMIFS(Exp_Net,Exp_Category,"Insurance",Exp_Date,"&gt;="&amp;DATE(Report_Year,1,1),Exp_Date,"&lt;="&amp;EOMONTH(DATE(Report_Year,1,1),0))</f>
        <v>0</v>
      </c>
      <c r="C21" s="165">
        <f>SUMIFS(Exp_Net,Exp_Category,"Insurance",Exp_Date,"&gt;="&amp;DATE(Report_Year,2,1),Exp_Date,"&lt;="&amp;EOMONTH(DATE(Report_Year,2,1),0))</f>
        <v>1008.4</v>
      </c>
      <c r="D21" s="165">
        <f>SUMIFS(Exp_Net,Exp_Category,"Insurance",Exp_Date,"&gt;="&amp;DATE(Report_Year,3,1),Exp_Date,"&lt;="&amp;EOMONTH(DATE(Report_Year,3,1),0))</f>
        <v>0</v>
      </c>
      <c r="E21" s="165">
        <f>SUMIFS(Exp_Net,Exp_Category,"Insurance",Exp_Date,"&gt;="&amp;DATE(Report_Year,4,1),Exp_Date,"&lt;="&amp;EOMONTH(DATE(Report_Year,4,1),0))</f>
        <v>0</v>
      </c>
      <c r="F21" s="165">
        <f>SUMIFS(Exp_Net,Exp_Category,"Insurance",Exp_Date,"&gt;="&amp;DATE(Report_Year,5,1),Exp_Date,"&lt;="&amp;EOMONTH(DATE(Report_Year,5,1),0))</f>
        <v>0</v>
      </c>
      <c r="G21" s="165">
        <f>SUMIFS(Exp_Net,Exp_Category,"Insurance",Exp_Date,"&gt;="&amp;DATE(Report_Year,6,1),Exp_Date,"&lt;="&amp;EOMONTH(DATE(Report_Year,6,1),0))</f>
        <v>0</v>
      </c>
      <c r="H21" s="165">
        <f>SUMIFS(Exp_Net,Exp_Category,"Insurance",Exp_Date,"&gt;="&amp;DATE(Report_Year,7,1),Exp_Date,"&lt;="&amp;EOMONTH(DATE(Report_Year,7,1),0))</f>
        <v>0</v>
      </c>
      <c r="I21" s="165">
        <f>SUMIFS(Exp_Net,Exp_Category,"Insurance",Exp_Date,"&gt;="&amp;DATE(Report_Year,8,1),Exp_Date,"&lt;="&amp;EOMONTH(DATE(Report_Year,8,1),0))</f>
        <v>0</v>
      </c>
      <c r="J21" s="165">
        <f>SUMIFS(Exp_Net,Exp_Category,"Insurance",Exp_Date,"&gt;="&amp;DATE(Report_Year,9,1),Exp_Date,"&lt;="&amp;EOMONTH(DATE(Report_Year,9,1),0))</f>
        <v>0</v>
      </c>
      <c r="K21" s="165">
        <f>SUMIFS(Exp_Net,Exp_Category,"Insurance",Exp_Date,"&gt;="&amp;DATE(Report_Year,10,1),Exp_Date,"&lt;="&amp;EOMONTH(DATE(Report_Year,10,1),0))</f>
        <v>0</v>
      </c>
      <c r="L21" s="165">
        <f>SUMIFS(Exp_Net,Exp_Category,"Insurance",Exp_Date,"&gt;="&amp;DATE(Report_Year,11,1),Exp_Date,"&lt;="&amp;EOMONTH(DATE(Report_Year,11,1),0))</f>
        <v>0</v>
      </c>
      <c r="M21" s="165">
        <f>SUMIFS(Exp_Net,Exp_Category,"Insurance",Exp_Date,"&gt;="&amp;DATE(Report_Year,12,1),Exp_Date,"&lt;="&amp;EOMONTH(DATE(Report_Year,12,1),0))</f>
        <v>0</v>
      </c>
      <c r="N21" s="166">
        <f t="shared" si="3"/>
        <v>1008.4</v>
      </c>
    </row>
    <row r="22" spans="1:14" x14ac:dyDescent="0.25">
      <c r="A22" s="61" t="s">
        <v>1114</v>
      </c>
      <c r="B22" s="165">
        <f>SUMIFS(Exp_Net,Exp_Category,"Marketing",Exp_Date,"&gt;="&amp;DATE(Report_Year,1,1),Exp_Date,"&lt;="&amp;EOMONTH(DATE(Report_Year,1,1),0))</f>
        <v>0</v>
      </c>
      <c r="C22" s="165">
        <f>SUMIFS(Exp_Net,Exp_Category,"Marketing",Exp_Date,"&gt;="&amp;DATE(Report_Year,2,1),Exp_Date,"&lt;="&amp;EOMONTH(DATE(Report_Year,2,1),0))</f>
        <v>420.17</v>
      </c>
      <c r="D22" s="165">
        <f>SUMIFS(Exp_Net,Exp_Category,"Marketing",Exp_Date,"&gt;="&amp;DATE(Report_Year,3,1),Exp_Date,"&lt;="&amp;EOMONTH(DATE(Report_Year,3,1),0))</f>
        <v>0</v>
      </c>
      <c r="E22" s="165">
        <f>SUMIFS(Exp_Net,Exp_Category,"Marketing",Exp_Date,"&gt;="&amp;DATE(Report_Year,4,1),Exp_Date,"&lt;="&amp;EOMONTH(DATE(Report_Year,4,1),0))</f>
        <v>0</v>
      </c>
      <c r="F22" s="165">
        <f>SUMIFS(Exp_Net,Exp_Category,"Marketing",Exp_Date,"&gt;="&amp;DATE(Report_Year,5,1),Exp_Date,"&lt;="&amp;EOMONTH(DATE(Report_Year,5,1),0))</f>
        <v>0</v>
      </c>
      <c r="G22" s="165">
        <f>SUMIFS(Exp_Net,Exp_Category,"Marketing",Exp_Date,"&gt;="&amp;DATE(Report_Year,6,1),Exp_Date,"&lt;="&amp;EOMONTH(DATE(Report_Year,6,1),0))</f>
        <v>0</v>
      </c>
      <c r="H22" s="165">
        <f>SUMIFS(Exp_Net,Exp_Category,"Marketing",Exp_Date,"&gt;="&amp;DATE(Report_Year,7,1),Exp_Date,"&lt;="&amp;EOMONTH(DATE(Report_Year,7,1),0))</f>
        <v>0</v>
      </c>
      <c r="I22" s="165">
        <f>SUMIFS(Exp_Net,Exp_Category,"Marketing",Exp_Date,"&gt;="&amp;DATE(Report_Year,8,1),Exp_Date,"&lt;="&amp;EOMONTH(DATE(Report_Year,8,1),0))</f>
        <v>0</v>
      </c>
      <c r="J22" s="165">
        <f>SUMIFS(Exp_Net,Exp_Category,"Marketing",Exp_Date,"&gt;="&amp;DATE(Report_Year,9,1),Exp_Date,"&lt;="&amp;EOMONTH(DATE(Report_Year,9,1),0))</f>
        <v>0</v>
      </c>
      <c r="K22" s="165">
        <f>SUMIFS(Exp_Net,Exp_Category,"Marketing",Exp_Date,"&gt;="&amp;DATE(Report_Year,10,1),Exp_Date,"&lt;="&amp;EOMONTH(DATE(Report_Year,10,1),0))</f>
        <v>0</v>
      </c>
      <c r="L22" s="165">
        <f>SUMIFS(Exp_Net,Exp_Category,"Marketing",Exp_Date,"&gt;="&amp;DATE(Report_Year,11,1),Exp_Date,"&lt;="&amp;EOMONTH(DATE(Report_Year,11,1),0))</f>
        <v>0</v>
      </c>
      <c r="M22" s="165">
        <f>SUMIFS(Exp_Net,Exp_Category,"Marketing",Exp_Date,"&gt;="&amp;DATE(Report_Year,12,1),Exp_Date,"&lt;="&amp;EOMONTH(DATE(Report_Year,12,1),0))</f>
        <v>0</v>
      </c>
      <c r="N22" s="166">
        <f t="shared" si="3"/>
        <v>420.17</v>
      </c>
    </row>
    <row r="23" spans="1:14" x14ac:dyDescent="0.25">
      <c r="A23" s="61" t="s">
        <v>1115</v>
      </c>
      <c r="B23" s="165">
        <f>SUMIFS(Exp_Net,Exp_Category,"Office",Exp_Date,"&gt;="&amp;DATE(Report_Year,1,1),Exp_Date,"&lt;="&amp;EOMONTH(DATE(Report_Year,1,1),0))+SUMIFS(Exp_Net,Exp_Category,"IT_Software",Exp_Date,"&gt;="&amp;DATE(Report_Year,1,1),Exp_Date,"&lt;="&amp;EOMONTH(DATE(Report_Year,1,1),0))</f>
        <v>1850</v>
      </c>
      <c r="C23" s="165">
        <f>SUMIFS(Exp_Net,Exp_Category,"Office",Exp_Date,"&gt;="&amp;DATE(Report_Year,2,1),Exp_Date,"&lt;="&amp;EOMONTH(DATE(Report_Year,2,1),0))+SUMIFS(Exp_Net,Exp_Category,"IT_Software",Exp_Date,"&gt;="&amp;DATE(Report_Year,2,1),Exp_Date,"&lt;="&amp;EOMONTH(DATE(Report_Year,2,1),0))</f>
        <v>0</v>
      </c>
      <c r="D23" s="165">
        <f>SUMIFS(Exp_Net,Exp_Category,"Office",Exp_Date,"&gt;="&amp;DATE(Report_Year,3,1),Exp_Date,"&lt;="&amp;EOMONTH(DATE(Report_Year,3,1),0))+SUMIFS(Exp_Net,Exp_Category,"IT_Software",Exp_Date,"&gt;="&amp;DATE(Report_Year,3,1),Exp_Date,"&lt;="&amp;EOMONTH(DATE(Report_Year,3,1),0))</f>
        <v>117.65</v>
      </c>
      <c r="E23" s="165">
        <f>SUMIFS(Exp_Net,Exp_Category,"Office",Exp_Date,"&gt;="&amp;DATE(Report_Year,4,1),Exp_Date,"&lt;="&amp;EOMONTH(DATE(Report_Year,4,1),0))+SUMIFS(Exp_Net,Exp_Category,"IT_Software",Exp_Date,"&gt;="&amp;DATE(Report_Year,4,1),Exp_Date,"&lt;="&amp;EOMONTH(DATE(Report_Year,4,1),0))</f>
        <v>0</v>
      </c>
      <c r="F23" s="165">
        <f>SUMIFS(Exp_Net,Exp_Category,"Office",Exp_Date,"&gt;="&amp;DATE(Report_Year,5,1),Exp_Date,"&lt;="&amp;EOMONTH(DATE(Report_Year,5,1),0))+SUMIFS(Exp_Net,Exp_Category,"IT_Software",Exp_Date,"&gt;="&amp;DATE(Report_Year,5,1),Exp_Date,"&lt;="&amp;EOMONTH(DATE(Report_Year,5,1),0))</f>
        <v>0</v>
      </c>
      <c r="G23" s="165">
        <f>SUMIFS(Exp_Net,Exp_Category,"Office",Exp_Date,"&gt;="&amp;DATE(Report_Year,6,1),Exp_Date,"&lt;="&amp;EOMONTH(DATE(Report_Year,6,1),0))+SUMIFS(Exp_Net,Exp_Category,"IT_Software",Exp_Date,"&gt;="&amp;DATE(Report_Year,6,1),Exp_Date,"&lt;="&amp;EOMONTH(DATE(Report_Year,6,1),0))</f>
        <v>0</v>
      </c>
      <c r="H23" s="165">
        <f>SUMIFS(Exp_Net,Exp_Category,"Office",Exp_Date,"&gt;="&amp;DATE(Report_Year,7,1),Exp_Date,"&lt;="&amp;EOMONTH(DATE(Report_Year,7,1),0))+SUMIFS(Exp_Net,Exp_Category,"IT_Software",Exp_Date,"&gt;="&amp;DATE(Report_Year,7,1),Exp_Date,"&lt;="&amp;EOMONTH(DATE(Report_Year,7,1),0))</f>
        <v>0</v>
      </c>
      <c r="I23" s="165">
        <f>SUMIFS(Exp_Net,Exp_Category,"Office",Exp_Date,"&gt;="&amp;DATE(Report_Year,8,1),Exp_Date,"&lt;="&amp;EOMONTH(DATE(Report_Year,8,1),0))+SUMIFS(Exp_Net,Exp_Category,"IT_Software",Exp_Date,"&gt;="&amp;DATE(Report_Year,8,1),Exp_Date,"&lt;="&amp;EOMONTH(DATE(Report_Year,8,1),0))</f>
        <v>0</v>
      </c>
      <c r="J23" s="165">
        <f>SUMIFS(Exp_Net,Exp_Category,"Office",Exp_Date,"&gt;="&amp;DATE(Report_Year,9,1),Exp_Date,"&lt;="&amp;EOMONTH(DATE(Report_Year,9,1),0))+SUMIFS(Exp_Net,Exp_Category,"IT_Software",Exp_Date,"&gt;="&amp;DATE(Report_Year,9,1),Exp_Date,"&lt;="&amp;EOMONTH(DATE(Report_Year,9,1),0))</f>
        <v>0</v>
      </c>
      <c r="K23" s="165">
        <f>SUMIFS(Exp_Net,Exp_Category,"Office",Exp_Date,"&gt;="&amp;DATE(Report_Year,10,1),Exp_Date,"&lt;="&amp;EOMONTH(DATE(Report_Year,10,1),0))+SUMIFS(Exp_Net,Exp_Category,"IT_Software",Exp_Date,"&gt;="&amp;DATE(Report_Year,10,1),Exp_Date,"&lt;="&amp;EOMONTH(DATE(Report_Year,10,1),0))</f>
        <v>0</v>
      </c>
      <c r="L23" s="165">
        <f>SUMIFS(Exp_Net,Exp_Category,"Office",Exp_Date,"&gt;="&amp;DATE(Report_Year,11,1),Exp_Date,"&lt;="&amp;EOMONTH(DATE(Report_Year,11,1),0))+SUMIFS(Exp_Net,Exp_Category,"IT_Software",Exp_Date,"&gt;="&amp;DATE(Report_Year,11,1),Exp_Date,"&lt;="&amp;EOMONTH(DATE(Report_Year,11,1),0))</f>
        <v>0</v>
      </c>
      <c r="M23" s="165">
        <f>SUMIFS(Exp_Net,Exp_Category,"Office",Exp_Date,"&gt;="&amp;DATE(Report_Year,12,1),Exp_Date,"&lt;="&amp;EOMONTH(DATE(Report_Year,12,1),0))+SUMIFS(Exp_Net,Exp_Category,"IT_Software",Exp_Date,"&gt;="&amp;DATE(Report_Year,12,1),Exp_Date,"&lt;="&amp;EOMONTH(DATE(Report_Year,12,1),0))</f>
        <v>0</v>
      </c>
      <c r="N23" s="166">
        <f t="shared" si="3"/>
        <v>1967.65</v>
      </c>
    </row>
    <row r="24" spans="1:14" x14ac:dyDescent="0.25">
      <c r="A24" s="61" t="s">
        <v>1116</v>
      </c>
      <c r="B24" s="165">
        <f>SUMIFS(Exp_Net,Exp_Category,"Legal_Accounting",Exp_Date,"&gt;="&amp;DATE(Report_Year,1,1),Exp_Date,"&lt;="&amp;EOMONTH(DATE(Report_Year,1,1),0))</f>
        <v>0</v>
      </c>
      <c r="C24" s="165">
        <f>SUMIFS(Exp_Net,Exp_Category,"Legal_Accounting",Exp_Date,"&gt;="&amp;DATE(Report_Year,2,1),Exp_Date,"&lt;="&amp;EOMONTH(DATE(Report_Year,2,1),0))</f>
        <v>0</v>
      </c>
      <c r="D24" s="165">
        <f>SUMIFS(Exp_Net,Exp_Category,"Legal_Accounting",Exp_Date,"&gt;="&amp;DATE(Report_Year,3,1),Exp_Date,"&lt;="&amp;EOMONTH(DATE(Report_Year,3,1),0))</f>
        <v>600</v>
      </c>
      <c r="E24" s="165">
        <f>SUMIFS(Exp_Net,Exp_Category,"Legal_Accounting",Exp_Date,"&gt;="&amp;DATE(Report_Year,4,1),Exp_Date,"&lt;="&amp;EOMONTH(DATE(Report_Year,4,1),0))</f>
        <v>0</v>
      </c>
      <c r="F24" s="165">
        <f>SUMIFS(Exp_Net,Exp_Category,"Legal_Accounting",Exp_Date,"&gt;="&amp;DATE(Report_Year,5,1),Exp_Date,"&lt;="&amp;EOMONTH(DATE(Report_Year,5,1),0))</f>
        <v>0</v>
      </c>
      <c r="G24" s="165">
        <f>SUMIFS(Exp_Net,Exp_Category,"Legal_Accounting",Exp_Date,"&gt;="&amp;DATE(Report_Year,6,1),Exp_Date,"&lt;="&amp;EOMONTH(DATE(Report_Year,6,1),0))</f>
        <v>0</v>
      </c>
      <c r="H24" s="165">
        <f>SUMIFS(Exp_Net,Exp_Category,"Legal_Accounting",Exp_Date,"&gt;="&amp;DATE(Report_Year,7,1),Exp_Date,"&lt;="&amp;EOMONTH(DATE(Report_Year,7,1),0))</f>
        <v>0</v>
      </c>
      <c r="I24" s="165">
        <f>SUMIFS(Exp_Net,Exp_Category,"Legal_Accounting",Exp_Date,"&gt;="&amp;DATE(Report_Year,8,1),Exp_Date,"&lt;="&amp;EOMONTH(DATE(Report_Year,8,1),0))</f>
        <v>0</v>
      </c>
      <c r="J24" s="165">
        <f>SUMIFS(Exp_Net,Exp_Category,"Legal_Accounting",Exp_Date,"&gt;="&amp;DATE(Report_Year,9,1),Exp_Date,"&lt;="&amp;EOMONTH(DATE(Report_Year,9,1),0))</f>
        <v>0</v>
      </c>
      <c r="K24" s="165">
        <f>SUMIFS(Exp_Net,Exp_Category,"Legal_Accounting",Exp_Date,"&gt;="&amp;DATE(Report_Year,10,1),Exp_Date,"&lt;="&amp;EOMONTH(DATE(Report_Year,10,1),0))</f>
        <v>0</v>
      </c>
      <c r="L24" s="165">
        <f>SUMIFS(Exp_Net,Exp_Category,"Legal_Accounting",Exp_Date,"&gt;="&amp;DATE(Report_Year,11,1),Exp_Date,"&lt;="&amp;EOMONTH(DATE(Report_Year,11,1),0))</f>
        <v>0</v>
      </c>
      <c r="M24" s="165">
        <f>SUMIFS(Exp_Net,Exp_Category,"Legal_Accounting",Exp_Date,"&gt;="&amp;DATE(Report_Year,12,1),Exp_Date,"&lt;="&amp;EOMONTH(DATE(Report_Year,12,1),0))</f>
        <v>0</v>
      </c>
      <c r="N24" s="166">
        <f t="shared" si="3"/>
        <v>600</v>
      </c>
    </row>
    <row r="25" spans="1:14" x14ac:dyDescent="0.25">
      <c r="A25" s="61" t="s">
        <v>1117</v>
      </c>
      <c r="B25" s="165">
        <f>SUMIFS(Exp_Net,Exp_Category,"Bank_fees",Exp_Date,"&gt;="&amp;DATE(Report_Year,1,1),Exp_Date,"&lt;="&amp;EOMONTH(DATE(Report_Year,1,1),0))</f>
        <v>0</v>
      </c>
      <c r="C25" s="165">
        <f>SUMIFS(Exp_Net,Exp_Category,"Bank_fees",Exp_Date,"&gt;="&amp;DATE(Report_Year,2,1),Exp_Date,"&lt;="&amp;EOMONTH(DATE(Report_Year,2,1),0))</f>
        <v>0</v>
      </c>
      <c r="D25" s="165">
        <f>SUMIFS(Exp_Net,Exp_Category,"Bank_fees",Exp_Date,"&gt;="&amp;DATE(Report_Year,3,1),Exp_Date,"&lt;="&amp;EOMONTH(DATE(Report_Year,3,1),0))</f>
        <v>0</v>
      </c>
      <c r="E25" s="165">
        <f>SUMIFS(Exp_Net,Exp_Category,"Bank_fees",Exp_Date,"&gt;="&amp;DATE(Report_Year,4,1),Exp_Date,"&lt;="&amp;EOMONTH(DATE(Report_Year,4,1),0))</f>
        <v>85</v>
      </c>
      <c r="F25" s="165">
        <f>SUMIFS(Exp_Net,Exp_Category,"Bank_fees",Exp_Date,"&gt;="&amp;DATE(Report_Year,5,1),Exp_Date,"&lt;="&amp;EOMONTH(DATE(Report_Year,5,1),0))</f>
        <v>0</v>
      </c>
      <c r="G25" s="165">
        <f>SUMIFS(Exp_Net,Exp_Category,"Bank_fees",Exp_Date,"&gt;="&amp;DATE(Report_Year,6,1),Exp_Date,"&lt;="&amp;EOMONTH(DATE(Report_Year,6,1),0))</f>
        <v>0</v>
      </c>
      <c r="H25" s="165">
        <f>SUMIFS(Exp_Net,Exp_Category,"Bank_fees",Exp_Date,"&gt;="&amp;DATE(Report_Year,7,1),Exp_Date,"&lt;="&amp;EOMONTH(DATE(Report_Year,7,1),0))</f>
        <v>0</v>
      </c>
      <c r="I25" s="165">
        <f>SUMIFS(Exp_Net,Exp_Category,"Bank_fees",Exp_Date,"&gt;="&amp;DATE(Report_Year,8,1),Exp_Date,"&lt;="&amp;EOMONTH(DATE(Report_Year,8,1),0))</f>
        <v>0</v>
      </c>
      <c r="J25" s="165">
        <f>SUMIFS(Exp_Net,Exp_Category,"Bank_fees",Exp_Date,"&gt;="&amp;DATE(Report_Year,9,1),Exp_Date,"&lt;="&amp;EOMONTH(DATE(Report_Year,9,1),0))</f>
        <v>0</v>
      </c>
      <c r="K25" s="165">
        <f>SUMIFS(Exp_Net,Exp_Category,"Bank_fees",Exp_Date,"&gt;="&amp;DATE(Report_Year,10,1),Exp_Date,"&lt;="&amp;EOMONTH(DATE(Report_Year,10,1),0))</f>
        <v>0</v>
      </c>
      <c r="L25" s="165">
        <f>SUMIFS(Exp_Net,Exp_Category,"Bank_fees",Exp_Date,"&gt;="&amp;DATE(Report_Year,11,1),Exp_Date,"&lt;="&amp;EOMONTH(DATE(Report_Year,11,1),0))</f>
        <v>0</v>
      </c>
      <c r="M25" s="165">
        <f>SUMIFS(Exp_Net,Exp_Category,"Bank_fees",Exp_Date,"&gt;="&amp;DATE(Report_Year,12,1),Exp_Date,"&lt;="&amp;EOMONTH(DATE(Report_Year,12,1),0))</f>
        <v>0</v>
      </c>
      <c r="N25" s="166">
        <f t="shared" si="3"/>
        <v>85</v>
      </c>
    </row>
    <row r="26" spans="1:14" x14ac:dyDescent="0.25">
      <c r="A26" s="61" t="s">
        <v>1118</v>
      </c>
      <c r="B26" s="165">
        <f>SUMIFS(Exp_Net,Exp_Category,"Small_Tools",Exp_Date,"&gt;="&amp;DATE(Report_Year,1,1),Exp_Date,"&lt;="&amp;EOMONTH(DATE(Report_Year,1,1),0))+SUMIFS(Exp_Net,Exp_Category,"Training",Exp_Date,"&gt;="&amp;DATE(Report_Year,1,1),Exp_Date,"&lt;="&amp;EOMONTH(DATE(Report_Year,1,1),0))+SUMIFS(Exp_Net,Exp_Category,"Waste_disposal",Exp_Date,"&gt;="&amp;DATE(Report_Year,1,1),Exp_Date,"&lt;="&amp;EOMONTH(DATE(Report_Year,1,1),0))+SUMIFS(Exp_Net,Exp_Category,"Cleaning",Exp_Date,"&gt;="&amp;DATE(Report_Year,1,1),Exp_Date,"&lt;="&amp;EOMONTH(DATE(Report_Year,1,1),0))+SUMIFS(Exp_Net,Exp_Category,"Repairs",Exp_Date,"&gt;="&amp;DATE(Report_Year,1,1),Exp_Date,"&lt;="&amp;EOMONTH(DATE(Report_Year,1,1),0))+SUMIFS(Exp_Net,Exp_Category,"Travel",Exp_Date,"&gt;="&amp;DATE(Report_Year,1,1),Exp_Date,"&lt;="&amp;EOMONTH(DATE(Report_Year,1,1),0))+SUMIFS(Exp_Net,Exp_Category,"Meals",Exp_Date,"&gt;="&amp;DATE(Report_Year,1,1),Exp_Date,"&lt;="&amp;EOMONTH(DATE(Report_Year,1,1),0))+SUMIFS(Exp_Net,Exp_Category,"Other",Exp_Date,"&gt;="&amp;DATE(Report_Year,1,1),Exp_Date,"&lt;="&amp;EOMONTH(DATE(Report_Year,1,1),0))</f>
        <v>0</v>
      </c>
      <c r="C26" s="165">
        <f>SUMIFS(Exp_Net,Exp_Category,"Small_Tools",Exp_Date,"&gt;="&amp;DATE(Report_Year,2,1),Exp_Date,"&lt;="&amp;EOMONTH(DATE(Report_Year,2,1),0))+SUMIFS(Exp_Net,Exp_Category,"Training",Exp_Date,"&gt;="&amp;DATE(Report_Year,2,1),Exp_Date,"&lt;="&amp;EOMONTH(DATE(Report_Year,2,1),0))+SUMIFS(Exp_Net,Exp_Category,"Waste_disposal",Exp_Date,"&gt;="&amp;DATE(Report_Year,2,1),Exp_Date,"&lt;="&amp;EOMONTH(DATE(Report_Year,2,1),0))+SUMIFS(Exp_Net,Exp_Category,"Cleaning",Exp_Date,"&gt;="&amp;DATE(Report_Year,2,1),Exp_Date,"&lt;="&amp;EOMONTH(DATE(Report_Year,2,1),0))+SUMIFS(Exp_Net,Exp_Category,"Repairs",Exp_Date,"&gt;="&amp;DATE(Report_Year,2,1),Exp_Date,"&lt;="&amp;EOMONTH(DATE(Report_Year,2,1),0))+SUMIFS(Exp_Net,Exp_Category,"Travel",Exp_Date,"&gt;="&amp;DATE(Report_Year,2,1),Exp_Date,"&lt;="&amp;EOMONTH(DATE(Report_Year,2,1),0))+SUMIFS(Exp_Net,Exp_Category,"Meals",Exp_Date,"&gt;="&amp;DATE(Report_Year,2,1),Exp_Date,"&lt;="&amp;EOMONTH(DATE(Report_Year,2,1),0))+SUMIFS(Exp_Net,Exp_Category,"Other",Exp_Date,"&gt;="&amp;DATE(Report_Year,2,1),Exp_Date,"&lt;="&amp;EOMONTH(DATE(Report_Year,2,1),0))</f>
        <v>0</v>
      </c>
      <c r="D26" s="165">
        <f>SUMIFS(Exp_Net,Exp_Category,"Small_Tools",Exp_Date,"&gt;="&amp;DATE(Report_Year,3,1),Exp_Date,"&lt;="&amp;EOMONTH(DATE(Report_Year,3,1),0))+SUMIFS(Exp_Net,Exp_Category,"Training",Exp_Date,"&gt;="&amp;DATE(Report_Year,3,1),Exp_Date,"&lt;="&amp;EOMONTH(DATE(Report_Year,3,1),0))+SUMIFS(Exp_Net,Exp_Category,"Waste_disposal",Exp_Date,"&gt;="&amp;DATE(Report_Year,3,1),Exp_Date,"&lt;="&amp;EOMONTH(DATE(Report_Year,3,1),0))+SUMIFS(Exp_Net,Exp_Category,"Cleaning",Exp_Date,"&gt;="&amp;DATE(Report_Year,3,1),Exp_Date,"&lt;="&amp;EOMONTH(DATE(Report_Year,3,1),0))+SUMIFS(Exp_Net,Exp_Category,"Repairs",Exp_Date,"&gt;="&amp;DATE(Report_Year,3,1),Exp_Date,"&lt;="&amp;EOMONTH(DATE(Report_Year,3,1),0))+SUMIFS(Exp_Net,Exp_Category,"Travel",Exp_Date,"&gt;="&amp;DATE(Report_Year,3,1),Exp_Date,"&lt;="&amp;EOMONTH(DATE(Report_Year,3,1),0))+SUMIFS(Exp_Net,Exp_Category,"Meals",Exp_Date,"&gt;="&amp;DATE(Report_Year,3,1),Exp_Date,"&lt;="&amp;EOMONTH(DATE(Report_Year,3,1),0))+SUMIFS(Exp_Net,Exp_Category,"Other",Exp_Date,"&gt;="&amp;DATE(Report_Year,3,1),Exp_Date,"&lt;="&amp;EOMONTH(DATE(Report_Year,3,1),0))</f>
        <v>390.08000000000004</v>
      </c>
      <c r="E26" s="165">
        <f>SUMIFS(Exp_Net,Exp_Category,"Small_Tools",Exp_Date,"&gt;="&amp;DATE(Report_Year,4,1),Exp_Date,"&lt;="&amp;EOMONTH(DATE(Report_Year,4,1),0))+SUMIFS(Exp_Net,Exp_Category,"Training",Exp_Date,"&gt;="&amp;DATE(Report_Year,4,1),Exp_Date,"&lt;="&amp;EOMONTH(DATE(Report_Year,4,1),0))+SUMIFS(Exp_Net,Exp_Category,"Waste_disposal",Exp_Date,"&gt;="&amp;DATE(Report_Year,4,1),Exp_Date,"&lt;="&amp;EOMONTH(DATE(Report_Year,4,1),0))+SUMIFS(Exp_Net,Exp_Category,"Cleaning",Exp_Date,"&gt;="&amp;DATE(Report_Year,4,1),Exp_Date,"&lt;="&amp;EOMONTH(DATE(Report_Year,4,1),0))+SUMIFS(Exp_Net,Exp_Category,"Repairs",Exp_Date,"&gt;="&amp;DATE(Report_Year,4,1),Exp_Date,"&lt;="&amp;EOMONTH(DATE(Report_Year,4,1),0))+SUMIFS(Exp_Net,Exp_Category,"Travel",Exp_Date,"&gt;="&amp;DATE(Report_Year,4,1),Exp_Date,"&lt;="&amp;EOMONTH(DATE(Report_Year,4,1),0))+SUMIFS(Exp_Net,Exp_Category,"Meals",Exp_Date,"&gt;="&amp;DATE(Report_Year,4,1),Exp_Date,"&lt;="&amp;EOMONTH(DATE(Report_Year,4,1),0))+SUMIFS(Exp_Net,Exp_Category,"Other",Exp_Date,"&gt;="&amp;DATE(Report_Year,4,1),Exp_Date,"&lt;="&amp;EOMONTH(DATE(Report_Year,4,1),0))</f>
        <v>450</v>
      </c>
      <c r="F26" s="165">
        <f>SUMIFS(Exp_Net,Exp_Category,"Small_Tools",Exp_Date,"&gt;="&amp;DATE(Report_Year,5,1),Exp_Date,"&lt;="&amp;EOMONTH(DATE(Report_Year,5,1),0))+SUMIFS(Exp_Net,Exp_Category,"Training",Exp_Date,"&gt;="&amp;DATE(Report_Year,5,1),Exp_Date,"&lt;="&amp;EOMONTH(DATE(Report_Year,5,1),0))+SUMIFS(Exp_Net,Exp_Category,"Waste_disposal",Exp_Date,"&gt;="&amp;DATE(Report_Year,5,1),Exp_Date,"&lt;="&amp;EOMONTH(DATE(Report_Year,5,1),0))+SUMIFS(Exp_Net,Exp_Category,"Cleaning",Exp_Date,"&gt;="&amp;DATE(Report_Year,5,1),Exp_Date,"&lt;="&amp;EOMONTH(DATE(Report_Year,5,1),0))+SUMIFS(Exp_Net,Exp_Category,"Repairs",Exp_Date,"&gt;="&amp;DATE(Report_Year,5,1),Exp_Date,"&lt;="&amp;EOMONTH(DATE(Report_Year,5,1),0))+SUMIFS(Exp_Net,Exp_Category,"Travel",Exp_Date,"&gt;="&amp;DATE(Report_Year,5,1),Exp_Date,"&lt;="&amp;EOMONTH(DATE(Report_Year,5,1),0))+SUMIFS(Exp_Net,Exp_Category,"Meals",Exp_Date,"&gt;="&amp;DATE(Report_Year,5,1),Exp_Date,"&lt;="&amp;EOMONTH(DATE(Report_Year,5,1),0))+SUMIFS(Exp_Net,Exp_Category,"Other",Exp_Date,"&gt;="&amp;DATE(Report_Year,5,1),Exp_Date,"&lt;="&amp;EOMONTH(DATE(Report_Year,5,1),0))</f>
        <v>0</v>
      </c>
      <c r="G26" s="165">
        <f>SUMIFS(Exp_Net,Exp_Category,"Small_Tools",Exp_Date,"&gt;="&amp;DATE(Report_Year,6,1),Exp_Date,"&lt;="&amp;EOMONTH(DATE(Report_Year,6,1),0))+SUMIFS(Exp_Net,Exp_Category,"Training",Exp_Date,"&gt;="&amp;DATE(Report_Year,6,1),Exp_Date,"&lt;="&amp;EOMONTH(DATE(Report_Year,6,1),0))+SUMIFS(Exp_Net,Exp_Category,"Waste_disposal",Exp_Date,"&gt;="&amp;DATE(Report_Year,6,1),Exp_Date,"&lt;="&amp;EOMONTH(DATE(Report_Year,6,1),0))+SUMIFS(Exp_Net,Exp_Category,"Cleaning",Exp_Date,"&gt;="&amp;DATE(Report_Year,6,1),Exp_Date,"&lt;="&amp;EOMONTH(DATE(Report_Year,6,1),0))+SUMIFS(Exp_Net,Exp_Category,"Repairs",Exp_Date,"&gt;="&amp;DATE(Report_Year,6,1),Exp_Date,"&lt;="&amp;EOMONTH(DATE(Report_Year,6,1),0))+SUMIFS(Exp_Net,Exp_Category,"Travel",Exp_Date,"&gt;="&amp;DATE(Report_Year,6,1),Exp_Date,"&lt;="&amp;EOMONTH(DATE(Report_Year,6,1),0))+SUMIFS(Exp_Net,Exp_Category,"Meals",Exp_Date,"&gt;="&amp;DATE(Report_Year,6,1),Exp_Date,"&lt;="&amp;EOMONTH(DATE(Report_Year,6,1),0))+SUMIFS(Exp_Net,Exp_Category,"Other",Exp_Date,"&gt;="&amp;DATE(Report_Year,6,1),Exp_Date,"&lt;="&amp;EOMONTH(DATE(Report_Year,6,1),0))</f>
        <v>0</v>
      </c>
      <c r="H26" s="165">
        <f>SUMIFS(Exp_Net,Exp_Category,"Small_Tools",Exp_Date,"&gt;="&amp;DATE(Report_Year,7,1),Exp_Date,"&lt;="&amp;EOMONTH(DATE(Report_Year,7,1),0))+SUMIFS(Exp_Net,Exp_Category,"Training",Exp_Date,"&gt;="&amp;DATE(Report_Year,7,1),Exp_Date,"&lt;="&amp;EOMONTH(DATE(Report_Year,7,1),0))+SUMIFS(Exp_Net,Exp_Category,"Waste_disposal",Exp_Date,"&gt;="&amp;DATE(Report_Year,7,1),Exp_Date,"&lt;="&amp;EOMONTH(DATE(Report_Year,7,1),0))+SUMIFS(Exp_Net,Exp_Category,"Cleaning",Exp_Date,"&gt;="&amp;DATE(Report_Year,7,1),Exp_Date,"&lt;="&amp;EOMONTH(DATE(Report_Year,7,1),0))+SUMIFS(Exp_Net,Exp_Category,"Repairs",Exp_Date,"&gt;="&amp;DATE(Report_Year,7,1),Exp_Date,"&lt;="&amp;EOMONTH(DATE(Report_Year,7,1),0))+SUMIFS(Exp_Net,Exp_Category,"Travel",Exp_Date,"&gt;="&amp;DATE(Report_Year,7,1),Exp_Date,"&lt;="&amp;EOMONTH(DATE(Report_Year,7,1),0))+SUMIFS(Exp_Net,Exp_Category,"Meals",Exp_Date,"&gt;="&amp;DATE(Report_Year,7,1),Exp_Date,"&lt;="&amp;EOMONTH(DATE(Report_Year,7,1),0))+SUMIFS(Exp_Net,Exp_Category,"Other",Exp_Date,"&gt;="&amp;DATE(Report_Year,7,1),Exp_Date,"&lt;="&amp;EOMONTH(DATE(Report_Year,7,1),0))</f>
        <v>0</v>
      </c>
      <c r="I26" s="165">
        <f>SUMIFS(Exp_Net,Exp_Category,"Small_Tools",Exp_Date,"&gt;="&amp;DATE(Report_Year,8,1),Exp_Date,"&lt;="&amp;EOMONTH(DATE(Report_Year,8,1),0))+SUMIFS(Exp_Net,Exp_Category,"Training",Exp_Date,"&gt;="&amp;DATE(Report_Year,8,1),Exp_Date,"&lt;="&amp;EOMONTH(DATE(Report_Year,8,1),0))+SUMIFS(Exp_Net,Exp_Category,"Waste_disposal",Exp_Date,"&gt;="&amp;DATE(Report_Year,8,1),Exp_Date,"&lt;="&amp;EOMONTH(DATE(Report_Year,8,1),0))+SUMIFS(Exp_Net,Exp_Category,"Cleaning",Exp_Date,"&gt;="&amp;DATE(Report_Year,8,1),Exp_Date,"&lt;="&amp;EOMONTH(DATE(Report_Year,8,1),0))+SUMIFS(Exp_Net,Exp_Category,"Repairs",Exp_Date,"&gt;="&amp;DATE(Report_Year,8,1),Exp_Date,"&lt;="&amp;EOMONTH(DATE(Report_Year,8,1),0))+SUMIFS(Exp_Net,Exp_Category,"Travel",Exp_Date,"&gt;="&amp;DATE(Report_Year,8,1),Exp_Date,"&lt;="&amp;EOMONTH(DATE(Report_Year,8,1),0))+SUMIFS(Exp_Net,Exp_Category,"Meals",Exp_Date,"&gt;="&amp;DATE(Report_Year,8,1),Exp_Date,"&lt;="&amp;EOMONTH(DATE(Report_Year,8,1),0))+SUMIFS(Exp_Net,Exp_Category,"Other",Exp_Date,"&gt;="&amp;DATE(Report_Year,8,1),Exp_Date,"&lt;="&amp;EOMONTH(DATE(Report_Year,8,1),0))</f>
        <v>0</v>
      </c>
      <c r="J26" s="165">
        <f>SUMIFS(Exp_Net,Exp_Category,"Small_Tools",Exp_Date,"&gt;="&amp;DATE(Report_Year,9,1),Exp_Date,"&lt;="&amp;EOMONTH(DATE(Report_Year,9,1),0))+SUMIFS(Exp_Net,Exp_Category,"Training",Exp_Date,"&gt;="&amp;DATE(Report_Year,9,1),Exp_Date,"&lt;="&amp;EOMONTH(DATE(Report_Year,9,1),0))+SUMIFS(Exp_Net,Exp_Category,"Waste_disposal",Exp_Date,"&gt;="&amp;DATE(Report_Year,9,1),Exp_Date,"&lt;="&amp;EOMONTH(DATE(Report_Year,9,1),0))+SUMIFS(Exp_Net,Exp_Category,"Cleaning",Exp_Date,"&gt;="&amp;DATE(Report_Year,9,1),Exp_Date,"&lt;="&amp;EOMONTH(DATE(Report_Year,9,1),0))+SUMIFS(Exp_Net,Exp_Category,"Repairs",Exp_Date,"&gt;="&amp;DATE(Report_Year,9,1),Exp_Date,"&lt;="&amp;EOMONTH(DATE(Report_Year,9,1),0))+SUMIFS(Exp_Net,Exp_Category,"Travel",Exp_Date,"&gt;="&amp;DATE(Report_Year,9,1),Exp_Date,"&lt;="&amp;EOMONTH(DATE(Report_Year,9,1),0))+SUMIFS(Exp_Net,Exp_Category,"Meals",Exp_Date,"&gt;="&amp;DATE(Report_Year,9,1),Exp_Date,"&lt;="&amp;EOMONTH(DATE(Report_Year,9,1),0))+SUMIFS(Exp_Net,Exp_Category,"Other",Exp_Date,"&gt;="&amp;DATE(Report_Year,9,1),Exp_Date,"&lt;="&amp;EOMONTH(DATE(Report_Year,9,1),0))</f>
        <v>0</v>
      </c>
      <c r="K26" s="165">
        <f>SUMIFS(Exp_Net,Exp_Category,"Small_Tools",Exp_Date,"&gt;="&amp;DATE(Report_Year,10,1),Exp_Date,"&lt;="&amp;EOMONTH(DATE(Report_Year,10,1),0))+SUMIFS(Exp_Net,Exp_Category,"Training",Exp_Date,"&gt;="&amp;DATE(Report_Year,10,1),Exp_Date,"&lt;="&amp;EOMONTH(DATE(Report_Year,10,1),0))+SUMIFS(Exp_Net,Exp_Category,"Waste_disposal",Exp_Date,"&gt;="&amp;DATE(Report_Year,10,1),Exp_Date,"&lt;="&amp;EOMONTH(DATE(Report_Year,10,1),0))+SUMIFS(Exp_Net,Exp_Category,"Cleaning",Exp_Date,"&gt;="&amp;DATE(Report_Year,10,1),Exp_Date,"&lt;="&amp;EOMONTH(DATE(Report_Year,10,1),0))+SUMIFS(Exp_Net,Exp_Category,"Repairs",Exp_Date,"&gt;="&amp;DATE(Report_Year,10,1),Exp_Date,"&lt;="&amp;EOMONTH(DATE(Report_Year,10,1),0))+SUMIFS(Exp_Net,Exp_Category,"Travel",Exp_Date,"&gt;="&amp;DATE(Report_Year,10,1),Exp_Date,"&lt;="&amp;EOMONTH(DATE(Report_Year,10,1),0))+SUMIFS(Exp_Net,Exp_Category,"Meals",Exp_Date,"&gt;="&amp;DATE(Report_Year,10,1),Exp_Date,"&lt;="&amp;EOMONTH(DATE(Report_Year,10,1),0))+SUMIFS(Exp_Net,Exp_Category,"Other",Exp_Date,"&gt;="&amp;DATE(Report_Year,10,1),Exp_Date,"&lt;="&amp;EOMONTH(DATE(Report_Year,10,1),0))</f>
        <v>0</v>
      </c>
      <c r="L26" s="165">
        <f>SUMIFS(Exp_Net,Exp_Category,"Small_Tools",Exp_Date,"&gt;="&amp;DATE(Report_Year,11,1),Exp_Date,"&lt;="&amp;EOMONTH(DATE(Report_Year,11,1),0))+SUMIFS(Exp_Net,Exp_Category,"Training",Exp_Date,"&gt;="&amp;DATE(Report_Year,11,1),Exp_Date,"&lt;="&amp;EOMONTH(DATE(Report_Year,11,1),0))+SUMIFS(Exp_Net,Exp_Category,"Waste_disposal",Exp_Date,"&gt;="&amp;DATE(Report_Year,11,1),Exp_Date,"&lt;="&amp;EOMONTH(DATE(Report_Year,11,1),0))+SUMIFS(Exp_Net,Exp_Category,"Cleaning",Exp_Date,"&gt;="&amp;DATE(Report_Year,11,1),Exp_Date,"&lt;="&amp;EOMONTH(DATE(Report_Year,11,1),0))+SUMIFS(Exp_Net,Exp_Category,"Repairs",Exp_Date,"&gt;="&amp;DATE(Report_Year,11,1),Exp_Date,"&lt;="&amp;EOMONTH(DATE(Report_Year,11,1),0))+SUMIFS(Exp_Net,Exp_Category,"Travel",Exp_Date,"&gt;="&amp;DATE(Report_Year,11,1),Exp_Date,"&lt;="&amp;EOMONTH(DATE(Report_Year,11,1),0))+SUMIFS(Exp_Net,Exp_Category,"Meals",Exp_Date,"&gt;="&amp;DATE(Report_Year,11,1),Exp_Date,"&lt;="&amp;EOMONTH(DATE(Report_Year,11,1),0))+SUMIFS(Exp_Net,Exp_Category,"Other",Exp_Date,"&gt;="&amp;DATE(Report_Year,11,1),Exp_Date,"&lt;="&amp;EOMONTH(DATE(Report_Year,11,1),0))</f>
        <v>0</v>
      </c>
      <c r="M26" s="165">
        <f>SUMIFS(Exp_Net,Exp_Category,"Small_Tools",Exp_Date,"&gt;="&amp;DATE(Report_Year,12,1),Exp_Date,"&lt;="&amp;EOMONTH(DATE(Report_Year,12,1),0))+SUMIFS(Exp_Net,Exp_Category,"Training",Exp_Date,"&gt;="&amp;DATE(Report_Year,12,1),Exp_Date,"&lt;="&amp;EOMONTH(DATE(Report_Year,12,1),0))+SUMIFS(Exp_Net,Exp_Category,"Waste_disposal",Exp_Date,"&gt;="&amp;DATE(Report_Year,12,1),Exp_Date,"&lt;="&amp;EOMONTH(DATE(Report_Year,12,1),0))+SUMIFS(Exp_Net,Exp_Category,"Cleaning",Exp_Date,"&gt;="&amp;DATE(Report_Year,12,1),Exp_Date,"&lt;="&amp;EOMONTH(DATE(Report_Year,12,1),0))+SUMIFS(Exp_Net,Exp_Category,"Repairs",Exp_Date,"&gt;="&amp;DATE(Report_Year,12,1),Exp_Date,"&lt;="&amp;EOMONTH(DATE(Report_Year,12,1),0))+SUMIFS(Exp_Net,Exp_Category,"Travel",Exp_Date,"&gt;="&amp;DATE(Report_Year,12,1),Exp_Date,"&lt;="&amp;EOMONTH(DATE(Report_Year,12,1),0))+SUMIFS(Exp_Net,Exp_Category,"Meals",Exp_Date,"&gt;="&amp;DATE(Report_Year,12,1),Exp_Date,"&lt;="&amp;EOMONTH(DATE(Report_Year,12,1),0))+SUMIFS(Exp_Net,Exp_Category,"Other",Exp_Date,"&gt;="&amp;DATE(Report_Year,12,1),Exp_Date,"&lt;="&amp;EOMONTH(DATE(Report_Year,12,1),0))</f>
        <v>0</v>
      </c>
      <c r="N26" s="166">
        <f t="shared" si="3"/>
        <v>840.08</v>
      </c>
    </row>
    <row r="27" spans="1:14" x14ac:dyDescent="0.25">
      <c r="A27" s="164" t="s">
        <v>1119</v>
      </c>
      <c r="B27" s="167">
        <f>SUM(B18:B26)</f>
      </c>
      <c r="C27" s="167">
        <f>SUM(C18:C26)</f>
      </c>
      <c r="D27" s="167">
        <f>SUM(D18:D26)</f>
      </c>
      <c r="E27" s="167">
        <f>SUM(E18:E26)</f>
      </c>
      <c r="F27" s="167">
        <f>SUM(F18:F26)</f>
      </c>
      <c r="G27" s="167">
        <f>SUM(G18:G26)</f>
      </c>
      <c r="H27" s="167">
        <f>SUM(H18:H26)</f>
      </c>
      <c r="I27" s="167">
        <f>SUM(I18:I26)</f>
      </c>
      <c r="J27" s="167">
        <f>SUM(J18:J26)</f>
      </c>
      <c r="K27" s="167">
        <f>SUM(K18:K26)</f>
      </c>
      <c r="L27" s="167">
        <f>SUM(L18:L26)</f>
      </c>
      <c r="M27" s="167">
        <f>SUM(M18:M26)</f>
      </c>
      <c r="N27" s="168">
        <f>SUM(B27:M27)</f>
      </c>
    </row>
    <row r="28" spans="1:14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14" x14ac:dyDescent="0.25">
      <c r="A29" s="164" t="s">
        <v>1120</v>
      </c>
      <c r="B29" s="169">
        <f>B14-B27</f>
      </c>
      <c r="C29" s="169">
        <f>C14-C27</f>
      </c>
      <c r="D29" s="169">
        <f>D14-D27</f>
      </c>
      <c r="E29" s="169">
        <f>E14-E27</f>
      </c>
      <c r="F29" s="169">
        <f>F14-F27</f>
      </c>
      <c r="G29" s="169">
        <f>G14-G27</f>
      </c>
      <c r="H29" s="169">
        <f>H14-H27</f>
      </c>
      <c r="I29" s="169">
        <f>I14-I27</f>
      </c>
      <c r="J29" s="169">
        <f>J14-J27</f>
      </c>
      <c r="K29" s="169">
        <f>K14-K27</f>
      </c>
      <c r="L29" s="169">
        <f>L14-L27</f>
      </c>
      <c r="M29" s="169">
        <f>M14-M27</f>
      </c>
      <c r="N29" s="168">
        <f>SUM(B29:M29)</f>
      </c>
    </row>
    <row r="30" spans="1:14" x14ac:dyDescent="0.25">
      <c r="A30" s="61" t="s">
        <v>1121</v>
      </c>
      <c r="B30" s="170">
        <f>IFERROR(B29/B5,0)</f>
      </c>
      <c r="C30" s="170">
        <f>IFERROR(C29/C5,0)</f>
      </c>
      <c r="D30" s="170">
        <f>IFERROR(D29/D5,0)</f>
      </c>
      <c r="E30" s="170">
        <f>IFERROR(E29/E5,0)</f>
      </c>
      <c r="F30" s="170">
        <f>IFERROR(F29/F5,0)</f>
      </c>
      <c r="G30" s="170">
        <f>IFERROR(G29/G5,0)</f>
      </c>
      <c r="H30" s="170">
        <f>IFERROR(H29/H5,0)</f>
      </c>
      <c r="I30" s="170">
        <f>IFERROR(I29/I5,0)</f>
      </c>
      <c r="J30" s="170">
        <f>IFERROR(J29/J5,0)</f>
      </c>
      <c r="K30" s="170">
        <f>IFERROR(K29/K5,0)</f>
      </c>
      <c r="L30" s="170">
        <f>IFERROR(L29/L5,0)</f>
      </c>
      <c r="M30" s="170">
        <f>IFERROR(M29/M5,0)</f>
      </c>
      <c r="N30" s="171">
        <f>IFERROR(N29/N5,0)</f>
      </c>
    </row>
    <row r="31" spans="1:14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1:14" x14ac:dyDescent="0.25">
      <c r="A32" s="61" t="s">
        <v>1122</v>
      </c>
      <c r="B32" s="165">
        <f>Equipment!$G$23/12</f>
      </c>
      <c r="C32" s="165">
        <f>Equipment!$G$23/12</f>
      </c>
      <c r="D32" s="165">
        <f>Equipment!$G$23/12</f>
      </c>
      <c r="E32" s="165">
        <f>Equipment!$G$23/12</f>
      </c>
      <c r="F32" s="165">
        <f>Equipment!$G$23/12</f>
      </c>
      <c r="G32" s="165">
        <f>Equipment!$G$23/12</f>
      </c>
      <c r="H32" s="165">
        <f>Equipment!$G$23/12</f>
      </c>
      <c r="I32" s="165">
        <f>Equipment!$G$23/12</f>
      </c>
      <c r="J32" s="165">
        <f>Equipment!$G$23/12</f>
      </c>
      <c r="K32" s="165">
        <f>Equipment!$G$23/12</f>
      </c>
      <c r="L32" s="165">
        <f>Equipment!$G$23/12</f>
      </c>
      <c r="M32" s="165">
        <f>Equipment!$G$23/12</f>
      </c>
      <c r="N32" s="166">
        <f>SUM(B32:M32)</f>
      </c>
    </row>
    <row r="33" spans="1:14" x14ac:dyDescent="0.25">
      <c r="A33" s="145" t="s">
        <v>1123</v>
      </c>
      <c r="B33" s="172">
        <f>B29-B32</f>
      </c>
      <c r="C33" s="172">
        <f>C29-C32</f>
      </c>
      <c r="D33" s="172">
        <f>D29-D32</f>
      </c>
      <c r="E33" s="172">
        <f>E29-E32</f>
      </c>
      <c r="F33" s="172">
        <f>F29-F32</f>
      </c>
      <c r="G33" s="172">
        <f>G29-G32</f>
      </c>
      <c r="H33" s="172">
        <f>H29-H32</f>
      </c>
      <c r="I33" s="172">
        <f>I29-I32</f>
      </c>
      <c r="J33" s="172">
        <f>J29-J32</f>
      </c>
      <c r="K33" s="172">
        <f>K29-K32</f>
      </c>
      <c r="L33" s="172">
        <f>L29-L32</f>
      </c>
      <c r="M33" s="172">
        <f>M29-M32</f>
      </c>
      <c r="N33" s="166">
        <f>SUM(B33:M33)</f>
      </c>
    </row>
    <row r="34" spans="1:14" x14ac:dyDescent="0.25">
      <c r="A34" s="61" t="s">
        <v>1124</v>
      </c>
      <c r="B34" s="170">
        <f>IFERROR(B33/B5,0)</f>
      </c>
      <c r="C34" s="170">
        <f>IFERROR(C33/C5,0)</f>
      </c>
      <c r="D34" s="170">
        <f>IFERROR(D33/D5,0)</f>
      </c>
      <c r="E34" s="170">
        <f>IFERROR(E33/E5,0)</f>
      </c>
      <c r="F34" s="170">
        <f>IFERROR(F33/F5,0)</f>
      </c>
      <c r="G34" s="170">
        <f>IFERROR(G33/G5,0)</f>
      </c>
      <c r="H34" s="170">
        <f>IFERROR(H33/H5,0)</f>
      </c>
      <c r="I34" s="170">
        <f>IFERROR(I33/I5,0)</f>
      </c>
      <c r="J34" s="170">
        <f>IFERROR(J33/J5,0)</f>
      </c>
      <c r="K34" s="170">
        <f>IFERROR(K33/K5,0)</f>
      </c>
      <c r="L34" s="170">
        <f>IFERROR(L33/L5,0)</f>
      </c>
      <c r="M34" s="170">
        <f>IFERROR(M33/M5,0)</f>
      </c>
      <c r="N34" s="171">
        <f>IFERROR(N33/N5,0)</f>
      </c>
    </row>
    <row r="37">
      <c r="A37" t="inlineStr">
        <is>
          <t xml:space="preserve">ASSUMPTIONS (v3.1 corrections, 14/07/2026): Revenue = net invoice amounts by ISSUE date (accrual). COGS: materials = PO net by order date (excl. Cancelled); labour = time-tracking cost by work date; subcontractors = agreed price of executed work (Status Completed/Paid) by deadline; transport by scheduled date. Depreciation = Equipment annual total /12. Cash receipts/payments live ONLY in Cash_Flow. Report year = Settings!Report_Year.</t>
        </is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BF8F00"/>
  </sheetPr>
  <dimension ref="A1:J16"/>
  <sheetViews>
    <sheetView zoomScaleNormal="100" workbookViewId="0"/>
  </sheetViews>
  <sheetFormatPr defaultColWidth="8.7109375" defaultRowHeight="15" x14ac:dyDescent="0.25"/>
  <cols>
    <col min="1" max="1" width="22" customWidth="1"/>
    <col min="2" max="2" width="16" customWidth="1"/>
    <col min="3" max="7" width="18" customWidth="1"/>
    <col min="8" max="9" width="14" customWidth="1"/>
    <col min="10" max="10" width="22" customWidth="1"/>
  </cols>
  <sheetData>
    <row r="1" spans="1:10" ht="18" x14ac:dyDescent="0.25">
      <c r="A1" s="60" t="s">
        <v>1125</v>
      </c>
      <c r="B1" s="61"/>
      <c r="C1" s="61"/>
      <c r="D1" s="61"/>
      <c r="E1" s="61"/>
      <c r="F1" s="133" t="s">
        <v>1126</v>
      </c>
      <c r="G1" s="61"/>
      <c r="H1" s="61"/>
      <c r="I1" s="61"/>
      <c r="J1" s="61"/>
    </row>
    <row r="2" spans="1:10" ht="27.75" customHeight="1" x14ac:dyDescent="0.25">
      <c r="A2" s="63" t="s">
        <v>1127</v>
      </c>
      <c r="B2" s="63" t="s">
        <v>1128</v>
      </c>
      <c r="C2" s="63" t="s">
        <v>1129</v>
      </c>
      <c r="D2" s="63" t="s">
        <v>1130</v>
      </c>
      <c r="E2" s="63" t="s">
        <v>1131</v>
      </c>
      <c r="F2" s="63" t="s">
        <v>1132</v>
      </c>
      <c r="G2" s="63" t="s">
        <v>1133</v>
      </c>
      <c r="H2" s="63" t="s">
        <v>1134</v>
      </c>
      <c r="I2" s="63" t="s">
        <v>23</v>
      </c>
      <c r="J2" s="63" t="s">
        <v>226</v>
      </c>
    </row>
    <row r="3" spans="1:10" x14ac:dyDescent="0.25">
      <c r="A3" s="61" t="s">
        <v>1135</v>
      </c>
      <c r="B3" s="61" t="s">
        <v>1136</v>
      </c>
      <c r="C3" s="69">
        <f>SUMIFS(Invoices!$H$3:$H$202,Invoices!$E$3:$E$202,"&gt;="&amp;DATE(2026,1,1),Invoices!$E$3:$E$202,"&lt;="&amp;DATE(2026,3,31))</f>
      </c>
      <c r="D3" s="69">
        <f>SUMIFS(Purchase_Orders!$K$3:$K$202,Purchase_Orders!$B$3:$B$202,"&gt;="&amp;DATE(2026,1,1),Purchase_Orders!$B$3:$B$202,"&lt;="&amp;DATE(2026,3,31))</f>
      </c>
      <c r="E3" s="69">
        <f>SUMIFS(Exp_VAT,Exp_Date,"&gt;="&amp;DATE(2026,1,1),Exp_Date,"&lt;="&amp;DATE(2026,3,31))</f>
        <v>1360.6070999999999</v>
      </c>
      <c r="F3" s="69">
        <f t="shared" ref="F3:F10" si="0">D3+E3</f>
      </c>
      <c r="G3" s="70">
        <f t="shared" ref="G3:G10" si="1">C3-F3</f>
      </c>
      <c r="H3" s="61"/>
      <c r="I3" s="61" t="s">
        <v>1049</v>
      </c>
      <c r="J3" s="61"/>
    </row>
    <row r="4" spans="1:10" x14ac:dyDescent="0.25">
      <c r="A4" s="61" t="s">
        <v>1137</v>
      </c>
      <c r="B4" s="61" t="s">
        <v>1138</v>
      </c>
      <c r="C4" s="69">
        <f>SUMIFS(Invoices!$H$3:$H$202,Invoices!$E$3:$E$202,"&gt;="&amp;DATE(2026,4,1),Invoices!$E$3:$E$202,"&lt;="&amp;DATE(2026,6,30))</f>
      </c>
      <c r="D4" s="69">
        <f>SUMIFS(Purchase_Orders!$K$3:$K$202,Purchase_Orders!$B$3:$B$202,"&gt;="&amp;DATE(2026,4,1),Purchase_Orders!$B$3:$B$202,"&lt;="&amp;DATE(2026,6,30))</f>
      </c>
      <c r="E4" s="69">
        <f>SUMIFS(Exp_VAT,Exp_Date,"&gt;="&amp;DATE(2026,4,1),Exp_Date,"&lt;="&amp;DATE(2026,6,30))</f>
        <v>163.38479999999998</v>
      </c>
      <c r="F4" s="69">
        <f t="shared" si="0"/>
        <v>163.38479999999998</v>
      </c>
      <c r="G4" s="70">
        <f t="shared" si="1"/>
        <v>8665.9151999999995</v>
      </c>
      <c r="H4" s="61"/>
      <c r="I4" s="61" t="s">
        <v>1049</v>
      </c>
      <c r="J4" s="61"/>
    </row>
    <row r="5" spans="1:10" x14ac:dyDescent="0.25">
      <c r="A5" s="61" t="s">
        <v>1139</v>
      </c>
      <c r="B5" s="61" t="s">
        <v>1140</v>
      </c>
      <c r="C5" s="69">
        <f>SUMIFS(Invoices!$H$3:$H$202,Invoices!$E$3:$E$202,"&gt;="&amp;DATE(2026,7,1),Invoices!$E$3:$E$202,"&lt;="&amp;DATE(2026,9,30))</f>
      </c>
      <c r="D5" s="69">
        <f>SUMIFS(Purchase_Orders!$K$3:$K$202,Purchase_Orders!$B$3:$B$202,"&gt;="&amp;DATE(2026,7,1),Purchase_Orders!$B$3:$B$202,"&lt;="&amp;DATE(2026,9,30))</f>
      </c>
      <c r="E5" s="69">
        <f>SUMIFS(Exp_VAT,Exp_Date,"&gt;="&amp;DATE(2026,7,1),Exp_Date,"&lt;="&amp;DATE(2026,9,30))</f>
        <v>0</v>
      </c>
      <c r="F5" s="69">
        <f t="shared" si="0"/>
        <v>0</v>
      </c>
      <c r="G5" s="70">
        <f t="shared" si="1"/>
        <v>0</v>
      </c>
      <c r="H5" s="61"/>
      <c r="I5" s="61" t="s">
        <v>1049</v>
      </c>
      <c r="J5" s="61"/>
    </row>
    <row r="6" spans="1:10" x14ac:dyDescent="0.25">
      <c r="A6" s="61" t="s">
        <v>1141</v>
      </c>
      <c r="B6" s="61" t="s">
        <v>1142</v>
      </c>
      <c r="C6" s="69">
        <f>SUMIFS(Invoices!$H$3:$H$202,Invoices!$E$3:$E$202,"&gt;="&amp;DATE(2026,10,1),Invoices!$E$3:$E$202,"&lt;="&amp;DATE(2026,12,31))</f>
      </c>
      <c r="D6" s="69">
        <f>SUMIFS(Purchase_Orders!$K$3:$K$202,Purchase_Orders!$B$3:$B$202,"&gt;="&amp;DATE(2026,10,1),Purchase_Orders!$B$3:$B$202,"&lt;="&amp;DATE(2026,12,31))</f>
      </c>
      <c r="E6" s="69">
        <f>SUMIFS(Exp_VAT,Exp_Date,"&gt;="&amp;DATE(2026,10,1),Exp_Date,"&lt;="&amp;DATE(2026,12,31))</f>
        <v>0</v>
      </c>
      <c r="F6" s="69">
        <f t="shared" si="0"/>
        <v>0</v>
      </c>
      <c r="G6" s="70">
        <f t="shared" si="1"/>
        <v>0</v>
      </c>
      <c r="H6" s="61"/>
      <c r="I6" s="61" t="s">
        <v>1049</v>
      </c>
      <c r="J6" s="61"/>
    </row>
    <row r="7" spans="1:10" x14ac:dyDescent="0.25">
      <c r="A7" s="61" t="s">
        <v>1143</v>
      </c>
      <c r="B7" s="61" t="s">
        <v>1144</v>
      </c>
      <c r="C7" s="69">
        <f>SUMIFS(Invoices!$H$3:$H$202,Invoices!$E$3:$E$202,"&gt;="&amp;DATE(2027,1,1),Invoices!$E$3:$E$202,"&lt;="&amp;DATE(2027,3,31))</f>
      </c>
      <c r="D7" s="69">
        <f>SUMIFS(Purchase_Orders!$K$3:$K$202,Purchase_Orders!$B$3:$B$202,"&gt;="&amp;DATE(2027,1,1),Purchase_Orders!$B$3:$B$202,"&lt;="&amp;DATE(2027,3,31))</f>
      </c>
      <c r="E7" s="69">
        <f>SUMIFS(Exp_VAT,Exp_Date,"&gt;="&amp;DATE(2027,1,1),Exp_Date,"&lt;="&amp;DATE(2027,3,31))</f>
        <v>0</v>
      </c>
      <c r="F7" s="69">
        <f t="shared" si="0"/>
        <v>0</v>
      </c>
      <c r="G7" s="70">
        <f t="shared" si="1"/>
        <v>0</v>
      </c>
      <c r="H7" s="61"/>
      <c r="I7" s="61" t="s">
        <v>1049</v>
      </c>
      <c r="J7" s="61"/>
    </row>
    <row r="8" spans="1:10" x14ac:dyDescent="0.25">
      <c r="A8" s="61" t="s">
        <v>1145</v>
      </c>
      <c r="B8" s="61" t="s">
        <v>1146</v>
      </c>
      <c r="C8" s="69">
        <f>SUMIFS(Invoices!$H$3:$H$202,Invoices!$E$3:$E$202,"&gt;="&amp;DATE(2027,4,1),Invoices!$E$3:$E$202,"&lt;="&amp;DATE(2027,6,30))</f>
      </c>
      <c r="D8" s="69">
        <f>SUMIFS(Purchase_Orders!$K$3:$K$202,Purchase_Orders!$B$3:$B$202,"&gt;="&amp;DATE(2027,4,1),Purchase_Orders!$B$3:$B$202,"&lt;="&amp;DATE(2027,6,30))</f>
      </c>
      <c r="E8" s="69">
        <f>SUMIFS(Exp_VAT,Exp_Date,"&gt;="&amp;DATE(2027,4,1),Exp_Date,"&lt;="&amp;DATE(2027,6,30))</f>
        <v>0</v>
      </c>
      <c r="F8" s="69">
        <f t="shared" si="0"/>
        <v>0</v>
      </c>
      <c r="G8" s="70">
        <f t="shared" si="1"/>
        <v>0</v>
      </c>
      <c r="H8" s="61"/>
      <c r="I8" s="61" t="s">
        <v>1049</v>
      </c>
      <c r="J8" s="61"/>
    </row>
    <row r="9" spans="1:10" x14ac:dyDescent="0.25">
      <c r="A9" s="61" t="s">
        <v>1147</v>
      </c>
      <c r="B9" s="61" t="s">
        <v>1148</v>
      </c>
      <c r="C9" s="69">
        <f>SUMIFS(Invoices!$H$3:$H$202,Invoices!$E$3:$E$202,"&gt;="&amp;DATE(2027,7,1),Invoices!$E$3:$E$202,"&lt;="&amp;DATE(2027,9,30))</f>
      </c>
      <c r="D9" s="69">
        <f>SUMIFS(Purchase_Orders!$K$3:$K$202,Purchase_Orders!$B$3:$B$202,"&gt;="&amp;DATE(2027,7,1),Purchase_Orders!$B$3:$B$202,"&lt;="&amp;DATE(2027,9,30))</f>
      </c>
      <c r="E9" s="69">
        <f>SUMIFS(Exp_VAT,Exp_Date,"&gt;="&amp;DATE(2027,7,1),Exp_Date,"&lt;="&amp;DATE(2027,9,30))</f>
        <v>0</v>
      </c>
      <c r="F9" s="69">
        <f t="shared" si="0"/>
        <v>0</v>
      </c>
      <c r="G9" s="70">
        <f t="shared" si="1"/>
        <v>0</v>
      </c>
      <c r="H9" s="61"/>
      <c r="I9" s="61" t="s">
        <v>1049</v>
      </c>
      <c r="J9" s="61"/>
    </row>
    <row r="10" spans="1:10" x14ac:dyDescent="0.25">
      <c r="A10" s="61" t="s">
        <v>1149</v>
      </c>
      <c r="B10" s="61" t="s">
        <v>1150</v>
      </c>
      <c r="C10" s="69">
        <f>SUMIFS(Invoices!$H$3:$H$202,Invoices!$E$3:$E$202,"&gt;="&amp;DATE(2027,10,1),Invoices!$E$3:$E$202,"&lt;="&amp;DATE(2027,12,31))</f>
      </c>
      <c r="D10" s="69">
        <f>SUMIFS(Purchase_Orders!$K$3:$K$202,Purchase_Orders!$B$3:$B$202,"&gt;="&amp;DATE(2027,10,1),Purchase_Orders!$B$3:$B$202,"&lt;="&amp;DATE(2027,12,31))</f>
      </c>
      <c r="E10" s="69">
        <f>SUMIFS(Exp_VAT,Exp_Date,"&gt;="&amp;DATE(2027,10,1),Exp_Date,"&lt;="&amp;DATE(2027,12,31))</f>
        <v>0</v>
      </c>
      <c r="F10" s="69">
        <f t="shared" si="0"/>
        <v>0</v>
      </c>
      <c r="G10" s="70">
        <f t="shared" si="1"/>
        <v>0</v>
      </c>
      <c r="H10" s="61"/>
      <c r="I10" s="61" t="s">
        <v>1049</v>
      </c>
      <c r="J10" s="61"/>
    </row>
    <row r="11" spans="1:10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</row>
    <row r="12" spans="1:10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</row>
    <row r="13" spans="1:10" x14ac:dyDescent="0.25">
      <c r="A13" s="159" t="s">
        <v>1151</v>
      </c>
      <c r="B13" s="61"/>
      <c r="C13" s="61"/>
      <c r="D13" s="61"/>
      <c r="E13" s="61"/>
      <c r="F13" s="61"/>
      <c r="G13" s="61"/>
      <c r="H13" s="61"/>
      <c r="I13" s="61"/>
      <c r="J13" s="61"/>
    </row>
    <row r="14" spans="1:10" x14ac:dyDescent="0.25">
      <c r="A14" s="61" t="s">
        <v>1152</v>
      </c>
      <c r="B14" s="61"/>
      <c r="C14" s="61"/>
      <c r="D14" s="61"/>
      <c r="E14" s="61"/>
      <c r="F14" s="61"/>
      <c r="G14" s="61"/>
      <c r="H14" s="61"/>
      <c r="I14" s="61"/>
      <c r="J14" s="61"/>
    </row>
    <row r="15" spans="1:10" x14ac:dyDescent="0.25">
      <c r="A15" s="61" t="s">
        <v>1153</v>
      </c>
      <c r="B15" s="61"/>
      <c r="C15" s="61"/>
      <c r="D15" s="61"/>
      <c r="E15" s="61"/>
      <c r="F15" s="61"/>
      <c r="G15" s="61"/>
      <c r="H15" s="61"/>
      <c r="I15" s="61"/>
      <c r="J15" s="61"/>
    </row>
    <row r="16" spans="1:10" x14ac:dyDescent="0.25">
      <c r="A16" s="61" t="s">
        <v>1154</v>
      </c>
      <c r="B16" s="61"/>
      <c r="C16" s="61"/>
      <c r="D16" s="61"/>
      <c r="E16" s="61"/>
      <c r="F16" s="61"/>
      <c r="G16" s="61"/>
      <c r="H16" s="61"/>
      <c r="I16" s="61"/>
      <c r="J16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I3:I20">
    <cfRule type="cellIs" dxfId="30" priority="2" operator="equal">
      <formula>"Paid"</formula>
    </cfRule>
    <cfRule type="cellIs" dxfId="29" priority="3" operator="equal">
      <formula>"Filed"</formula>
    </cfRule>
    <cfRule type="cellIs" dxfId="28" priority="4" operator="equal">
      <formula>"Draft"</formula>
    </cfRule>
    <cfRule type="cellIs" dxfId="27" priority="5" operator="equal">
      <formula>"Overdue"</formula>
    </cfRule>
  </conditionalFormatting>
  <dataValidations count="1">
    <dataValidation type="list" allowBlank="1" sqref="I3:I20" xr:uid="{00000000-0002-0000-1800-000000000000}">
      <formula1>"Draft,Filed,Paid,Overdue"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BF8F00"/>
  </sheetPr>
  <dimension ref="A1:L109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28" customWidth="1"/>
    <col min="3" max="10" width="14" customWidth="1"/>
    <col min="11" max="11" width="12" customWidth="1"/>
    <col min="12" max="12" width="24" customWidth="1"/>
  </cols>
  <sheetData>
    <row r="1" spans="1:12" ht="17.25" customHeight="1" x14ac:dyDescent="0.25">
      <c r="A1" s="60" t="s">
        <v>1155</v>
      </c>
      <c r="B1" s="61"/>
      <c r="C1" s="61"/>
      <c r="D1" s="61"/>
      <c r="E1" s="61"/>
      <c r="F1" s="133" t="s">
        <v>1156</v>
      </c>
      <c r="G1" s="61"/>
      <c r="H1" s="61"/>
      <c r="I1" s="61"/>
      <c r="J1" s="61"/>
      <c r="K1" s="61"/>
      <c r="L1" s="61"/>
    </row>
    <row r="2" spans="1:12" ht="27.75" customHeight="1" x14ac:dyDescent="0.25">
      <c r="A2" s="63" t="s">
        <v>614</v>
      </c>
      <c r="B2" s="63" t="s">
        <v>1157</v>
      </c>
      <c r="C2" s="63" t="s">
        <v>1158</v>
      </c>
      <c r="D2" s="63" t="s">
        <v>1159</v>
      </c>
      <c r="E2" s="63" t="s">
        <v>1160</v>
      </c>
      <c r="F2" s="63" t="s">
        <v>1161</v>
      </c>
      <c r="G2" s="63" t="s">
        <v>1162</v>
      </c>
      <c r="H2" s="63" t="s">
        <v>1163</v>
      </c>
      <c r="I2" s="63" t="s">
        <v>1164</v>
      </c>
      <c r="J2" s="63" t="s">
        <v>1165</v>
      </c>
      <c r="K2" s="63" t="s">
        <v>23</v>
      </c>
      <c r="L2" s="63" t="s">
        <v>226</v>
      </c>
    </row>
    <row r="3" spans="1:12" ht="15" customHeight="1" x14ac:dyDescent="0.25">
      <c r="A3" s="173" t="str">
        <f>IF(Project_List!B3="","",Project_List!B3)</f>
        <v>Anastasiou</v>
      </c>
      <c r="B3" s="173" t="str">
        <f>IF(Project_List!B3="","",Project_List!C3)</f>
        <v>Villa Kitchen</v>
      </c>
      <c r="C3" s="174">
        <f>IF(Project_List!B3="","",Project_List!M3)</f>
        <v>18500</v>
      </c>
      <c r="D3" s="174">
        <f>IF(Project_List!B3="","",Project_List!N3)</f>
        <v>12400</v>
      </c>
      <c r="E3" s="69">
        <f t="shared" ref="E3:E34" si="0">IF(A3="","",IFERROR(SUMIFS(Cutting_Total_Cost,Cutting_Project,A3),0))</f>
        <v>0</v>
      </c>
      <c r="F3" s="69">
        <f>IF(A3="","",IFERROR(SUMIFS(Time_Tracking!$J$3:$J$202,Time_Tracking!$E$3:$E$202,A3),0))</f>
        <v>0</v>
      </c>
      <c r="G3" s="69">
        <f>IF(A3="","",IFERROR(SUMIFS(Logistics!$K$3:$K$102,Logistics!$B$3:$B$102,A3),0))</f>
        <v>147.91999999999999</v>
      </c>
      <c r="H3" s="69">
        <f t="shared" ref="H3:H34" si="1">IF(A3="","",E3+F3+G3)</f>
        <v>147.91999999999999</v>
      </c>
      <c r="I3" s="69">
        <f t="shared" ref="I3:I34" si="2">IF(A3="","",D3-H3)</f>
        <v>12252.08</v>
      </c>
      <c r="J3" s="170">
        <f t="shared" ref="J3:J34" si="3">IFERROR(IF(OR(A3="",D3=0),"",I3/D3),"")</f>
        <v>0.98807096774193548</v>
      </c>
      <c r="K3" s="175" t="str">
        <f t="shared" ref="K3:K34" si="4">IF(A3="","",IF(J3="","—",IF(J3&gt;=0.05,"Under budget",IF(J3&gt;=-0.05,"On budget",IF(J3&gt;=-0.15,"Over","Critical over")))))</f>
        <v>Under budget</v>
      </c>
      <c r="L3" s="61"/>
    </row>
    <row r="4" spans="1:12" ht="15" customHeight="1" x14ac:dyDescent="0.25">
      <c r="A4" s="173" t="str">
        <f>IF(Project_List!B4="","",Project_List!B4)</f>
        <v>Savvas</v>
      </c>
      <c r="B4" s="173" t="str">
        <f>IF(Project_List!B4="","",Project_List!C4)</f>
        <v>Master Bedroom Wardrobe</v>
      </c>
      <c r="C4" s="174">
        <f>IF(Project_List!B4="","",Project_List!M4)</f>
        <v>6800</v>
      </c>
      <c r="D4" s="174">
        <f>IF(Project_List!B4="","",Project_List!N4)</f>
        <v>4200</v>
      </c>
      <c r="E4" s="69">
        <f t="shared" si="0"/>
        <v>0</v>
      </c>
      <c r="F4" s="69">
        <f>IF(A4="","",IFERROR(SUMIFS(Time_Tracking!$J$3:$J$202,Time_Tracking!$E$3:$E$202,A4),0))</f>
        <v>0</v>
      </c>
      <c r="G4" s="69">
        <f>IF(A4="","",IFERROR(SUMIFS(Logistics!$K$3:$K$102,Logistics!$B$3:$B$102,A4),0))</f>
        <v>0</v>
      </c>
      <c r="H4" s="69">
        <f t="shared" si="1"/>
        <v>0</v>
      </c>
      <c r="I4" s="69">
        <f t="shared" si="2"/>
        <v>4200</v>
      </c>
      <c r="J4" s="170">
        <f t="shared" si="3"/>
        <v>1</v>
      </c>
      <c r="K4" s="175" t="str">
        <f t="shared" si="4"/>
        <v>Under budget</v>
      </c>
      <c r="L4" s="61"/>
    </row>
    <row r="5" spans="1:12" ht="15" customHeight="1" x14ac:dyDescent="0.25">
      <c r="A5" s="173" t="str">
        <f>IF(Project_List!B5="","",Project_List!B5)</f>
        <v>Kolitiki Ltd</v>
      </c>
      <c r="B5" s="173" t="str">
        <f>IF(Project_List!B5="","",Project_List!C5)</f>
        <v>Office Wall Panels</v>
      </c>
      <c r="C5" s="174">
        <f>IF(Project_List!B5="","",Project_List!M5)</f>
        <v>4200</v>
      </c>
      <c r="D5" s="174">
        <f>IF(Project_List!B5="","",Project_List!N5)</f>
        <v>2800</v>
      </c>
      <c r="E5" s="69">
        <f t="shared" si="0"/>
        <v>0</v>
      </c>
      <c r="F5" s="69">
        <f>IF(A5="","",IFERROR(SUMIFS(Time_Tracking!$J$3:$J$202,Time_Tracking!$E$3:$E$202,A5),0))</f>
        <v>0</v>
      </c>
      <c r="G5" s="69">
        <f>IF(A5="","",IFERROR(SUMIFS(Logistics!$K$3:$K$102,Logistics!$B$3:$B$102,A5),0))</f>
        <v>61.44</v>
      </c>
      <c r="H5" s="69">
        <f t="shared" si="1"/>
        <v>61.44</v>
      </c>
      <c r="I5" s="69">
        <f t="shared" si="2"/>
        <v>2738.56</v>
      </c>
      <c r="J5" s="170">
        <f t="shared" si="3"/>
        <v>0.97805714285714285</v>
      </c>
      <c r="K5" s="175" t="str">
        <f t="shared" si="4"/>
        <v>Under budget</v>
      </c>
      <c r="L5" s="61"/>
    </row>
    <row r="6" spans="1:12" ht="15" customHeight="1" x14ac:dyDescent="0.25">
      <c r="A6" s="173" t="str">
        <f>IF(Project_List!B6="","",Project_List!B6)</f>
        <v>Leonida &amp; Sons</v>
      </c>
      <c r="B6" s="173" t="str">
        <f>IF(Project_List!B6="","",Project_List!C6)</f>
        <v>Showroom Ceiling</v>
      </c>
      <c r="C6" s="174">
        <f>IF(Project_List!B6="","",Project_List!M6)</f>
        <v>3800</v>
      </c>
      <c r="D6" s="174">
        <f>IF(Project_List!B6="","",Project_List!N6)</f>
        <v>2400</v>
      </c>
      <c r="E6" s="69">
        <f t="shared" si="0"/>
        <v>0</v>
      </c>
      <c r="F6" s="69">
        <f>IF(A6="","",IFERROR(SUMIFS(Time_Tracking!$J$3:$J$202,Time_Tracking!$E$3:$E$202,A6),0))</f>
        <v>0</v>
      </c>
      <c r="G6" s="69">
        <f>IF(A6="","",IFERROR(SUMIFS(Logistics!$K$3:$K$102,Logistics!$B$3:$B$102,A6),0))</f>
        <v>0</v>
      </c>
      <c r="H6" s="69">
        <f t="shared" si="1"/>
        <v>0</v>
      </c>
      <c r="I6" s="69">
        <f t="shared" si="2"/>
        <v>2400</v>
      </c>
      <c r="J6" s="170">
        <f t="shared" si="3"/>
        <v>1</v>
      </c>
      <c r="K6" s="175" t="str">
        <f t="shared" si="4"/>
        <v>Under budget</v>
      </c>
      <c r="L6" s="61"/>
    </row>
    <row r="7" spans="1:12" ht="15" customHeight="1" x14ac:dyDescent="0.25">
      <c r="A7" s="173" t="str">
        <f>IF(Project_List!B7="","",Project_List!B7)</f>
        <v>Pastelis</v>
      </c>
      <c r="B7" s="173" t="str">
        <f>IF(Project_List!B7="","",Project_List!C7)</f>
        <v>Entry Doors x3</v>
      </c>
      <c r="C7" s="174">
        <f>IF(Project_List!B7="","",Project_List!M7)</f>
        <v>4500</v>
      </c>
      <c r="D7" s="174">
        <f>IF(Project_List!B7="","",Project_List!N7)</f>
        <v>2900</v>
      </c>
      <c r="E7" s="69">
        <f t="shared" si="0"/>
        <v>0</v>
      </c>
      <c r="F7" s="69">
        <f>IF(A7="","",IFERROR(SUMIFS(Time_Tracking!$J$3:$J$202,Time_Tracking!$E$3:$E$202,A7),0))</f>
        <v>0</v>
      </c>
      <c r="G7" s="69">
        <f>IF(A7="","",IFERROR(SUMIFS(Logistics!$K$3:$K$102,Logistics!$B$3:$B$102,A7),0))</f>
        <v>0</v>
      </c>
      <c r="H7" s="69">
        <f t="shared" si="1"/>
        <v>0</v>
      </c>
      <c r="I7" s="69">
        <f t="shared" si="2"/>
        <v>2900</v>
      </c>
      <c r="J7" s="170">
        <f t="shared" si="3"/>
        <v>1</v>
      </c>
      <c r="K7" s="175" t="str">
        <f t="shared" si="4"/>
        <v>Under budget</v>
      </c>
      <c r="L7" s="61"/>
    </row>
    <row r="8" spans="1:12" ht="15" customHeight="1" x14ac:dyDescent="0.25">
      <c r="A8" s="173" t="str">
        <f>IF(Project_List!B8="","",Project_List!B8)</f>
        <v>Dimitris V.</v>
      </c>
      <c r="B8" s="173" t="str">
        <f>IF(Project_List!B8="","",Project_List!C8)</f>
        <v>Kitchen Ivoni</v>
      </c>
      <c r="C8" s="174">
        <f>IF(Project_List!B8="","",Project_List!M8)</f>
        <v>22500</v>
      </c>
      <c r="D8" s="174">
        <f>IF(Project_List!B8="","",Project_List!N8)</f>
        <v>14800</v>
      </c>
      <c r="E8" s="69">
        <f t="shared" si="0"/>
        <v>0</v>
      </c>
      <c r="F8" s="69">
        <f>IF(A8="","",IFERROR(SUMIFS(Time_Tracking!$J$3:$J$202,Time_Tracking!$E$3:$E$202,A8),0))</f>
        <v>0</v>
      </c>
      <c r="G8" s="69">
        <f>IF(A8="","",IFERROR(SUMIFS(Logistics!$K$3:$K$102,Logistics!$B$3:$B$102,A8),0))</f>
        <v>82.7</v>
      </c>
      <c r="H8" s="69">
        <f t="shared" si="1"/>
        <v>82.7</v>
      </c>
      <c r="I8" s="69">
        <f t="shared" si="2"/>
        <v>14717.3</v>
      </c>
      <c r="J8" s="170">
        <f t="shared" si="3"/>
        <v>0.99441216216216211</v>
      </c>
      <c r="K8" s="175" t="str">
        <f t="shared" si="4"/>
        <v>Under budget</v>
      </c>
      <c r="L8" s="61"/>
    </row>
    <row r="9" spans="1:12" ht="15" customHeight="1" x14ac:dyDescent="0.25">
      <c r="A9" s="173" t="str">
        <f>IF(Project_List!B9="","",Project_List!B9)</f>
        <v>George Petrou</v>
      </c>
      <c r="B9" s="173" t="str">
        <f>IF(Project_List!B9="","",Project_List!C9)</f>
        <v>Living Room Furniture</v>
      </c>
      <c r="C9" s="174">
        <f>IF(Project_List!B9="","",Project_List!M9)</f>
        <v>9200</v>
      </c>
      <c r="D9" s="174">
        <f>IF(Project_List!B9="","",Project_List!N9)</f>
        <v>6100</v>
      </c>
      <c r="E9" s="69">
        <f t="shared" si="0"/>
        <v>0</v>
      </c>
      <c r="F9" s="69">
        <f>IF(A9="","",IFERROR(SUMIFS(Time_Tracking!$J$3:$J$202,Time_Tracking!$E$3:$E$202,A9),0))</f>
        <v>0</v>
      </c>
      <c r="G9" s="69">
        <f>IF(A9="","",IFERROR(SUMIFS(Logistics!$K$3:$K$102,Logistics!$B$3:$B$102,A9),0))</f>
        <v>0</v>
      </c>
      <c r="H9" s="69">
        <f t="shared" si="1"/>
        <v>0</v>
      </c>
      <c r="I9" s="69">
        <f t="shared" si="2"/>
        <v>6100</v>
      </c>
      <c r="J9" s="170">
        <f t="shared" si="3"/>
        <v>1</v>
      </c>
      <c r="K9" s="175" t="str">
        <f t="shared" si="4"/>
        <v>Under budget</v>
      </c>
      <c r="L9" s="61"/>
    </row>
    <row r="10" spans="1:12" ht="15" customHeight="1" x14ac:dyDescent="0.25">
      <c r="A10" s="173" t="str">
        <f>IF(Project_List!B10="","",Project_List!B10)</f>
        <v>Angelis</v>
      </c>
      <c r="B10" s="173" t="str">
        <f>IF(Project_List!B10="","",Project_List!C10)</f>
        <v>Walk-in Wardrobe</v>
      </c>
      <c r="C10" s="174">
        <f>IF(Project_List!B10="","",Project_List!M10)</f>
        <v>11400</v>
      </c>
      <c r="D10" s="174">
        <f>IF(Project_List!B10="","",Project_List!N10)</f>
        <v>7500</v>
      </c>
      <c r="E10" s="69">
        <f t="shared" si="0"/>
        <v>0</v>
      </c>
      <c r="F10" s="69">
        <f>IF(A10="","",IFERROR(SUMIFS(Time_Tracking!$J$3:$J$202,Time_Tracking!$E$3:$E$202,A10),0))</f>
        <v>0</v>
      </c>
      <c r="G10" s="69">
        <f>IF(A10="","",IFERROR(SUMIFS(Logistics!$K$3:$K$102,Logistics!$B$3:$B$102,A10),0))</f>
        <v>0</v>
      </c>
      <c r="H10" s="69">
        <f t="shared" si="1"/>
        <v>0</v>
      </c>
      <c r="I10" s="69">
        <f t="shared" si="2"/>
        <v>7500</v>
      </c>
      <c r="J10" s="170">
        <f t="shared" si="3"/>
        <v>1</v>
      </c>
      <c r="K10" s="175" t="str">
        <f t="shared" si="4"/>
        <v>Under budget</v>
      </c>
      <c r="L10" s="61"/>
    </row>
    <row r="11" spans="1:12" ht="15" customHeight="1" x14ac:dyDescent="0.25">
      <c r="A11" s="173" t="str">
        <f>IF(Project_List!B11="","",Project_List!B11)</f>
        <v>Hadjipanayi</v>
      </c>
      <c r="B11" s="173" t="str">
        <f>IF(Project_List!B11="","",Project_List!C11)</f>
        <v>Kitchen Renovation</v>
      </c>
      <c r="C11" s="174">
        <f>IF(Project_List!B11="","",Project_List!M11)</f>
        <v>16800</v>
      </c>
      <c r="D11" s="174">
        <f>IF(Project_List!B11="","",Project_List!N11)</f>
        <v>11200</v>
      </c>
      <c r="E11" s="69">
        <f t="shared" si="0"/>
        <v>0</v>
      </c>
      <c r="F11" s="69">
        <f>IF(A11="","",IFERROR(SUMIFS(Time_Tracking!$J$3:$J$202,Time_Tracking!$E$3:$E$202,A11),0))</f>
        <v>0</v>
      </c>
      <c r="G11" s="69">
        <f>IF(A11="","",IFERROR(SUMIFS(Logistics!$K$3:$K$102,Logistics!$B$3:$B$102,A11),0))</f>
        <v>0</v>
      </c>
      <c r="H11" s="69">
        <f t="shared" si="1"/>
        <v>0</v>
      </c>
      <c r="I11" s="69">
        <f t="shared" si="2"/>
        <v>11200</v>
      </c>
      <c r="J11" s="170">
        <f t="shared" si="3"/>
        <v>1</v>
      </c>
      <c r="K11" s="175" t="str">
        <f t="shared" si="4"/>
        <v>Under budget</v>
      </c>
      <c r="L11" s="61"/>
    </row>
    <row r="12" spans="1:12" ht="15" customHeight="1" x14ac:dyDescent="0.25">
      <c r="A12" s="173" t="str">
        <f>IF(Project_List!B12="","",Project_List!B12)</f>
        <v>Eleni R.</v>
      </c>
      <c r="B12" s="173" t="str">
        <f>IF(Project_List!B12="","",Project_List!C12)</f>
        <v>Bookshelf Custom</v>
      </c>
      <c r="C12" s="174">
        <f>IF(Project_List!B12="","",Project_List!M12)</f>
        <v>2800</v>
      </c>
      <c r="D12" s="174">
        <f>IF(Project_List!B12="","",Project_List!N12)</f>
        <v>1700</v>
      </c>
      <c r="E12" s="69">
        <f t="shared" si="0"/>
        <v>0</v>
      </c>
      <c r="F12" s="69">
        <f>IF(A12="","",IFERROR(SUMIFS(Time_Tracking!$J$3:$J$202,Time_Tracking!$E$3:$E$202,A12),0))</f>
        <v>0</v>
      </c>
      <c r="G12" s="69">
        <f>IF(A12="","",IFERROR(SUMIFS(Logistics!$K$3:$K$102,Logistics!$B$3:$B$102,A12),0))</f>
        <v>0</v>
      </c>
      <c r="H12" s="69">
        <f t="shared" si="1"/>
        <v>0</v>
      </c>
      <c r="I12" s="69">
        <f t="shared" si="2"/>
        <v>1700</v>
      </c>
      <c r="J12" s="170">
        <f t="shared" si="3"/>
        <v>1</v>
      </c>
      <c r="K12" s="175" t="str">
        <f t="shared" si="4"/>
        <v>Under budget</v>
      </c>
      <c r="L12" s="61"/>
    </row>
    <row r="13" spans="1:12" ht="15" customHeight="1" x14ac:dyDescent="0.25">
      <c r="A13" s="173" t="str">
        <f>IF(Project_List!B13="","",Project_List!B13)</f>
        <v>Nikoletta</v>
      </c>
      <c r="B13" s="173" t="str">
        <f>IF(Project_List!B13="","",Project_List!C13)</f>
        <v>Cabinets Utility Room</v>
      </c>
      <c r="C13" s="174">
        <f>IF(Project_List!B13="","",Project_List!M13)</f>
        <v>5600</v>
      </c>
      <c r="D13" s="174">
        <f>IF(Project_List!B13="","",Project_List!N13)</f>
        <v>3800</v>
      </c>
      <c r="E13" s="69">
        <f t="shared" si="0"/>
        <v>0</v>
      </c>
      <c r="F13" s="69">
        <f>IF(A13="","",IFERROR(SUMIFS(Time_Tracking!$J$3:$J$202,Time_Tracking!$E$3:$E$202,A13),0))</f>
        <v>0</v>
      </c>
      <c r="G13" s="69">
        <f>IF(A13="","",IFERROR(SUMIFS(Logistics!$K$3:$K$102,Logistics!$B$3:$B$102,A13),0))</f>
        <v>86.1</v>
      </c>
      <c r="H13" s="69">
        <f t="shared" si="1"/>
        <v>86.1</v>
      </c>
      <c r="I13" s="69">
        <f t="shared" si="2"/>
        <v>3713.9</v>
      </c>
      <c r="J13" s="170">
        <f t="shared" si="3"/>
        <v>0.9773421052631579</v>
      </c>
      <c r="K13" s="175" t="str">
        <f t="shared" si="4"/>
        <v>Under budget</v>
      </c>
      <c r="L13" s="61"/>
    </row>
    <row r="14" spans="1:12" ht="15" customHeight="1" x14ac:dyDescent="0.25">
      <c r="A14" s="173" t="str">
        <f>IF(Project_List!B14="","",Project_List!B14)</f>
        <v>Sergei</v>
      </c>
      <c r="B14" s="173" t="str">
        <f>IF(Project_List!B14="","",Project_List!C14)</f>
        <v>Residence Doors &amp; Kitchen</v>
      </c>
      <c r="C14" s="174">
        <f>IF(Project_List!B14="","",Project_List!M14)</f>
        <v>28500</v>
      </c>
      <c r="D14" s="174">
        <f>IF(Project_List!B14="","",Project_List!N14)</f>
        <v>19200</v>
      </c>
      <c r="E14" s="69">
        <f t="shared" si="0"/>
        <v>0</v>
      </c>
      <c r="F14" s="69">
        <f>IF(A14="","",IFERROR(SUMIFS(Time_Tracking!$J$3:$J$202,Time_Tracking!$E$3:$E$202,A14),0))</f>
        <v>0</v>
      </c>
      <c r="G14" s="69">
        <f>IF(A14="","",IFERROR(SUMIFS(Logistics!$K$3:$K$102,Logistics!$B$3:$B$102,A14),0))</f>
        <v>0</v>
      </c>
      <c r="H14" s="69">
        <f t="shared" si="1"/>
        <v>0</v>
      </c>
      <c r="I14" s="69">
        <f t="shared" si="2"/>
        <v>19200</v>
      </c>
      <c r="J14" s="170">
        <f t="shared" si="3"/>
        <v>1</v>
      </c>
      <c r="K14" s="175" t="str">
        <f t="shared" si="4"/>
        <v>Under budget</v>
      </c>
      <c r="L14" s="61"/>
    </row>
    <row r="15" spans="1:12" ht="15" customHeight="1" x14ac:dyDescent="0.25">
      <c r="A15" s="173" t="str">
        <f>IF(Project_List!B15="","",Project_List!B15)</f>
        <v/>
      </c>
      <c r="B15" s="173" t="str">
        <f>IF(Project_List!B15="","",Project_List!C15)</f>
        <v/>
      </c>
      <c r="C15" s="174" t="str">
        <f>IF(Project_List!B15="","",Project_List!M15)</f>
        <v/>
      </c>
      <c r="D15" s="174" t="str">
        <f>IF(Project_List!B15="","",Project_List!N15)</f>
        <v/>
      </c>
      <c r="E15" s="69" t="str">
        <f t="shared" si="0"/>
        <v/>
      </c>
      <c r="F15" s="69" t="str">
        <f>IF(A15="","",IFERROR(SUMIFS(Time_Tracking!$J$3:$J$202,Time_Tracking!$E$3:$E$202,A15),0))</f>
        <v/>
      </c>
      <c r="G15" s="69" t="str">
        <f>IF(A15="","",IFERROR(SUMIFS(Logistics!$K$3:$K$102,Logistics!$B$3:$B$102,A15),0))</f>
        <v/>
      </c>
      <c r="H15" s="69" t="str">
        <f t="shared" si="1"/>
        <v/>
      </c>
      <c r="I15" s="69" t="str">
        <f t="shared" si="2"/>
        <v/>
      </c>
      <c r="J15" s="170" t="str">
        <f t="shared" si="3"/>
        <v/>
      </c>
      <c r="K15" s="175" t="str">
        <f t="shared" si="4"/>
        <v/>
      </c>
      <c r="L15" s="61"/>
    </row>
    <row r="16" spans="1:12" ht="15" customHeight="1" x14ac:dyDescent="0.25">
      <c r="A16" s="173" t="str">
        <f>IF(Project_List!B16="","",Project_List!B16)</f>
        <v/>
      </c>
      <c r="B16" s="173" t="str">
        <f>IF(Project_List!B16="","",Project_List!C16)</f>
        <v/>
      </c>
      <c r="C16" s="174" t="str">
        <f>IF(Project_List!B16="","",Project_List!M16)</f>
        <v/>
      </c>
      <c r="D16" s="174" t="str">
        <f>IF(Project_List!B16="","",Project_List!N16)</f>
        <v/>
      </c>
      <c r="E16" s="69" t="str">
        <f t="shared" si="0"/>
        <v/>
      </c>
      <c r="F16" s="69" t="str">
        <f>IF(A16="","",IFERROR(SUMIFS(Time_Tracking!$J$3:$J$202,Time_Tracking!$E$3:$E$202,A16),0))</f>
        <v/>
      </c>
      <c r="G16" s="69" t="str">
        <f>IF(A16="","",IFERROR(SUMIFS(Logistics!$K$3:$K$102,Logistics!$B$3:$B$102,A16),0))</f>
        <v/>
      </c>
      <c r="H16" s="69" t="str">
        <f t="shared" si="1"/>
        <v/>
      </c>
      <c r="I16" s="69" t="str">
        <f t="shared" si="2"/>
        <v/>
      </c>
      <c r="J16" s="170" t="str">
        <f t="shared" si="3"/>
        <v/>
      </c>
      <c r="K16" s="175" t="str">
        <f t="shared" si="4"/>
        <v/>
      </c>
      <c r="L16" s="61"/>
    </row>
    <row r="17" spans="1:12" ht="15" customHeight="1" x14ac:dyDescent="0.25">
      <c r="A17" s="173" t="str">
        <f>IF(Project_List!B17="","",Project_List!B17)</f>
        <v/>
      </c>
      <c r="B17" s="173" t="str">
        <f>IF(Project_List!B17="","",Project_List!C17)</f>
        <v/>
      </c>
      <c r="C17" s="174" t="str">
        <f>IF(Project_List!B17="","",Project_List!M17)</f>
        <v/>
      </c>
      <c r="D17" s="174" t="str">
        <f>IF(Project_List!B17="","",Project_List!N17)</f>
        <v/>
      </c>
      <c r="E17" s="69" t="str">
        <f t="shared" si="0"/>
        <v/>
      </c>
      <c r="F17" s="69" t="str">
        <f>IF(A17="","",IFERROR(SUMIFS(Time_Tracking!$J$3:$J$202,Time_Tracking!$E$3:$E$202,A17),0))</f>
        <v/>
      </c>
      <c r="G17" s="69" t="str">
        <f>IF(A17="","",IFERROR(SUMIFS(Logistics!$K$3:$K$102,Logistics!$B$3:$B$102,A17),0))</f>
        <v/>
      </c>
      <c r="H17" s="69" t="str">
        <f t="shared" si="1"/>
        <v/>
      </c>
      <c r="I17" s="69" t="str">
        <f t="shared" si="2"/>
        <v/>
      </c>
      <c r="J17" s="170" t="str">
        <f t="shared" si="3"/>
        <v/>
      </c>
      <c r="K17" s="175" t="str">
        <f t="shared" si="4"/>
        <v/>
      </c>
      <c r="L17" s="61"/>
    </row>
    <row r="18" spans="1:12" ht="15" customHeight="1" x14ac:dyDescent="0.25">
      <c r="A18" s="173" t="str">
        <f>IF(Project_List!B18="","",Project_List!B18)</f>
        <v/>
      </c>
      <c r="B18" s="173" t="str">
        <f>IF(Project_List!B18="","",Project_List!C18)</f>
        <v/>
      </c>
      <c r="C18" s="174" t="str">
        <f>IF(Project_List!B18="","",Project_List!M18)</f>
        <v/>
      </c>
      <c r="D18" s="174" t="str">
        <f>IF(Project_List!B18="","",Project_List!N18)</f>
        <v/>
      </c>
      <c r="E18" s="69" t="str">
        <f t="shared" si="0"/>
        <v/>
      </c>
      <c r="F18" s="69" t="str">
        <f>IF(A18="","",IFERROR(SUMIFS(Time_Tracking!$J$3:$J$202,Time_Tracking!$E$3:$E$202,A18),0))</f>
        <v/>
      </c>
      <c r="G18" s="69" t="str">
        <f>IF(A18="","",IFERROR(SUMIFS(Logistics!$K$3:$K$102,Logistics!$B$3:$B$102,A18),0))</f>
        <v/>
      </c>
      <c r="H18" s="69" t="str">
        <f t="shared" si="1"/>
        <v/>
      </c>
      <c r="I18" s="69" t="str">
        <f t="shared" si="2"/>
        <v/>
      </c>
      <c r="J18" s="170" t="str">
        <f t="shared" si="3"/>
        <v/>
      </c>
      <c r="K18" s="175" t="str">
        <f t="shared" si="4"/>
        <v/>
      </c>
      <c r="L18" s="61"/>
    </row>
    <row r="19" spans="1:12" ht="15" customHeight="1" x14ac:dyDescent="0.25">
      <c r="A19" s="173" t="str">
        <f>IF(Project_List!B19="","",Project_List!B19)</f>
        <v/>
      </c>
      <c r="B19" s="173" t="str">
        <f>IF(Project_List!B19="","",Project_List!C19)</f>
        <v/>
      </c>
      <c r="C19" s="174" t="str">
        <f>IF(Project_List!B19="","",Project_List!M19)</f>
        <v/>
      </c>
      <c r="D19" s="174" t="str">
        <f>IF(Project_List!B19="","",Project_List!N19)</f>
        <v/>
      </c>
      <c r="E19" s="69" t="str">
        <f t="shared" si="0"/>
        <v/>
      </c>
      <c r="F19" s="69" t="str">
        <f>IF(A19="","",IFERROR(SUMIFS(Time_Tracking!$J$3:$J$202,Time_Tracking!$E$3:$E$202,A19),0))</f>
        <v/>
      </c>
      <c r="G19" s="69" t="str">
        <f>IF(A19="","",IFERROR(SUMIFS(Logistics!$K$3:$K$102,Logistics!$B$3:$B$102,A19),0))</f>
        <v/>
      </c>
      <c r="H19" s="69" t="str">
        <f t="shared" si="1"/>
        <v/>
      </c>
      <c r="I19" s="69" t="str">
        <f t="shared" si="2"/>
        <v/>
      </c>
      <c r="J19" s="170" t="str">
        <f t="shared" si="3"/>
        <v/>
      </c>
      <c r="K19" s="175" t="str">
        <f t="shared" si="4"/>
        <v/>
      </c>
      <c r="L19" s="61"/>
    </row>
    <row r="20" spans="1:12" ht="15" customHeight="1" x14ac:dyDescent="0.25">
      <c r="A20" s="173" t="str">
        <f>IF(Project_List!B20="","",Project_List!B20)</f>
        <v/>
      </c>
      <c r="B20" s="173" t="str">
        <f>IF(Project_List!B20="","",Project_List!C20)</f>
        <v/>
      </c>
      <c r="C20" s="174" t="str">
        <f>IF(Project_List!B20="","",Project_List!M20)</f>
        <v/>
      </c>
      <c r="D20" s="174" t="str">
        <f>IF(Project_List!B20="","",Project_List!N20)</f>
        <v/>
      </c>
      <c r="E20" s="69" t="str">
        <f t="shared" si="0"/>
        <v/>
      </c>
      <c r="F20" s="69" t="str">
        <f>IF(A20="","",IFERROR(SUMIFS(Time_Tracking!$J$3:$J$202,Time_Tracking!$E$3:$E$202,A20),0))</f>
        <v/>
      </c>
      <c r="G20" s="69" t="str">
        <f>IF(A20="","",IFERROR(SUMIFS(Logistics!$K$3:$K$102,Logistics!$B$3:$B$102,A20),0))</f>
        <v/>
      </c>
      <c r="H20" s="69" t="str">
        <f t="shared" si="1"/>
        <v/>
      </c>
      <c r="I20" s="69" t="str">
        <f t="shared" si="2"/>
        <v/>
      </c>
      <c r="J20" s="170" t="str">
        <f t="shared" si="3"/>
        <v/>
      </c>
      <c r="K20" s="175" t="str">
        <f t="shared" si="4"/>
        <v/>
      </c>
      <c r="L20" s="61"/>
    </row>
    <row r="21" spans="1:12" ht="15" customHeight="1" x14ac:dyDescent="0.25">
      <c r="A21" s="173" t="str">
        <f>IF(Project_List!B21="","",Project_List!B21)</f>
        <v/>
      </c>
      <c r="B21" s="173" t="str">
        <f>IF(Project_List!B21="","",Project_List!C21)</f>
        <v/>
      </c>
      <c r="C21" s="174" t="str">
        <f>IF(Project_List!B21="","",Project_List!M21)</f>
        <v/>
      </c>
      <c r="D21" s="174" t="str">
        <f>IF(Project_List!B21="","",Project_List!N21)</f>
        <v/>
      </c>
      <c r="E21" s="69" t="str">
        <f t="shared" si="0"/>
        <v/>
      </c>
      <c r="F21" s="69" t="str">
        <f>IF(A21="","",IFERROR(SUMIFS(Time_Tracking!$J$3:$J$202,Time_Tracking!$E$3:$E$202,A21),0))</f>
        <v/>
      </c>
      <c r="G21" s="69" t="str">
        <f>IF(A21="","",IFERROR(SUMIFS(Logistics!$K$3:$K$102,Logistics!$B$3:$B$102,A21),0))</f>
        <v/>
      </c>
      <c r="H21" s="69" t="str">
        <f t="shared" si="1"/>
        <v/>
      </c>
      <c r="I21" s="69" t="str">
        <f t="shared" si="2"/>
        <v/>
      </c>
      <c r="J21" s="170" t="str">
        <f t="shared" si="3"/>
        <v/>
      </c>
      <c r="K21" s="175" t="str">
        <f t="shared" si="4"/>
        <v/>
      </c>
      <c r="L21" s="61"/>
    </row>
    <row r="22" spans="1:12" ht="15" customHeight="1" x14ac:dyDescent="0.25">
      <c r="A22" s="173" t="str">
        <f>IF(Project_List!B22="","",Project_List!B22)</f>
        <v/>
      </c>
      <c r="B22" s="173" t="str">
        <f>IF(Project_List!B22="","",Project_List!C22)</f>
        <v/>
      </c>
      <c r="C22" s="174" t="str">
        <f>IF(Project_List!B22="","",Project_List!M22)</f>
        <v/>
      </c>
      <c r="D22" s="174" t="str">
        <f>IF(Project_List!B22="","",Project_List!N22)</f>
        <v/>
      </c>
      <c r="E22" s="69" t="str">
        <f t="shared" si="0"/>
        <v/>
      </c>
      <c r="F22" s="69" t="str">
        <f>IF(A22="","",IFERROR(SUMIFS(Time_Tracking!$J$3:$J$202,Time_Tracking!$E$3:$E$202,A22),0))</f>
        <v/>
      </c>
      <c r="G22" s="69" t="str">
        <f>IF(A22="","",IFERROR(SUMIFS(Logistics!$K$3:$K$102,Logistics!$B$3:$B$102,A22),0))</f>
        <v/>
      </c>
      <c r="H22" s="69" t="str">
        <f t="shared" si="1"/>
        <v/>
      </c>
      <c r="I22" s="69" t="str">
        <f t="shared" si="2"/>
        <v/>
      </c>
      <c r="J22" s="170" t="str">
        <f t="shared" si="3"/>
        <v/>
      </c>
      <c r="K22" s="175" t="str">
        <f t="shared" si="4"/>
        <v/>
      </c>
      <c r="L22" s="61"/>
    </row>
    <row r="23" spans="1:12" ht="15" customHeight="1" x14ac:dyDescent="0.25">
      <c r="A23" s="173" t="str">
        <f>IF(Project_List!B23="","",Project_List!B23)</f>
        <v/>
      </c>
      <c r="B23" s="173" t="str">
        <f>IF(Project_List!B23="","",Project_List!C23)</f>
        <v/>
      </c>
      <c r="C23" s="174" t="str">
        <f>IF(Project_List!B23="","",Project_List!M23)</f>
        <v/>
      </c>
      <c r="D23" s="174" t="str">
        <f>IF(Project_List!B23="","",Project_List!N23)</f>
        <v/>
      </c>
      <c r="E23" s="69" t="str">
        <f t="shared" si="0"/>
        <v/>
      </c>
      <c r="F23" s="69" t="str">
        <f>IF(A23="","",IFERROR(SUMIFS(Time_Tracking!$J$3:$J$202,Time_Tracking!$E$3:$E$202,A23),0))</f>
        <v/>
      </c>
      <c r="G23" s="69" t="str">
        <f>IF(A23="","",IFERROR(SUMIFS(Logistics!$K$3:$K$102,Logistics!$B$3:$B$102,A23),0))</f>
        <v/>
      </c>
      <c r="H23" s="69" t="str">
        <f t="shared" si="1"/>
        <v/>
      </c>
      <c r="I23" s="69" t="str">
        <f t="shared" si="2"/>
        <v/>
      </c>
      <c r="J23" s="170" t="str">
        <f t="shared" si="3"/>
        <v/>
      </c>
      <c r="K23" s="175" t="str">
        <f t="shared" si="4"/>
        <v/>
      </c>
      <c r="L23" s="61"/>
    </row>
    <row r="24" spans="1:12" ht="15" customHeight="1" x14ac:dyDescent="0.25">
      <c r="A24" s="173" t="str">
        <f>IF(Project_List!B24="","",Project_List!B24)</f>
        <v/>
      </c>
      <c r="B24" s="173" t="str">
        <f>IF(Project_List!B24="","",Project_List!C24)</f>
        <v/>
      </c>
      <c r="C24" s="174" t="str">
        <f>IF(Project_List!B24="","",Project_List!M24)</f>
        <v/>
      </c>
      <c r="D24" s="174" t="str">
        <f>IF(Project_List!B24="","",Project_List!N24)</f>
        <v/>
      </c>
      <c r="E24" s="69" t="str">
        <f t="shared" si="0"/>
        <v/>
      </c>
      <c r="F24" s="69" t="str">
        <f>IF(A24="","",IFERROR(SUMIFS(Time_Tracking!$J$3:$J$202,Time_Tracking!$E$3:$E$202,A24),0))</f>
        <v/>
      </c>
      <c r="G24" s="69" t="str">
        <f>IF(A24="","",IFERROR(SUMIFS(Logistics!$K$3:$K$102,Logistics!$B$3:$B$102,A24),0))</f>
        <v/>
      </c>
      <c r="H24" s="69" t="str">
        <f t="shared" si="1"/>
        <v/>
      </c>
      <c r="I24" s="69" t="str">
        <f t="shared" si="2"/>
        <v/>
      </c>
      <c r="J24" s="170" t="str">
        <f t="shared" si="3"/>
        <v/>
      </c>
      <c r="K24" s="175" t="str">
        <f t="shared" si="4"/>
        <v/>
      </c>
      <c r="L24" s="61"/>
    </row>
    <row r="25" spans="1:12" ht="15" customHeight="1" x14ac:dyDescent="0.25">
      <c r="A25" s="173" t="str">
        <f>IF(Project_List!B25="","",Project_List!B25)</f>
        <v/>
      </c>
      <c r="B25" s="173" t="str">
        <f>IF(Project_List!B25="","",Project_List!C25)</f>
        <v/>
      </c>
      <c r="C25" s="174" t="str">
        <f>IF(Project_List!B25="","",Project_List!M25)</f>
        <v/>
      </c>
      <c r="D25" s="174" t="str">
        <f>IF(Project_List!B25="","",Project_List!N25)</f>
        <v/>
      </c>
      <c r="E25" s="69" t="str">
        <f t="shared" si="0"/>
        <v/>
      </c>
      <c r="F25" s="69" t="str">
        <f>IF(A25="","",IFERROR(SUMIFS(Time_Tracking!$J$3:$J$202,Time_Tracking!$E$3:$E$202,A25),0))</f>
        <v/>
      </c>
      <c r="G25" s="69" t="str">
        <f>IF(A25="","",IFERROR(SUMIFS(Logistics!$K$3:$K$102,Logistics!$B$3:$B$102,A25),0))</f>
        <v/>
      </c>
      <c r="H25" s="69" t="str">
        <f t="shared" si="1"/>
        <v/>
      </c>
      <c r="I25" s="69" t="str">
        <f t="shared" si="2"/>
        <v/>
      </c>
      <c r="J25" s="170" t="str">
        <f t="shared" si="3"/>
        <v/>
      </c>
      <c r="K25" s="175" t="str">
        <f t="shared" si="4"/>
        <v/>
      </c>
      <c r="L25" s="61"/>
    </row>
    <row r="26" spans="1:12" ht="15" customHeight="1" x14ac:dyDescent="0.25">
      <c r="A26" s="173" t="str">
        <f>IF(Project_List!B26="","",Project_List!B26)</f>
        <v/>
      </c>
      <c r="B26" s="173" t="str">
        <f>IF(Project_List!B26="","",Project_List!C26)</f>
        <v/>
      </c>
      <c r="C26" s="174" t="str">
        <f>IF(Project_List!B26="","",Project_List!M26)</f>
        <v/>
      </c>
      <c r="D26" s="174" t="str">
        <f>IF(Project_List!B26="","",Project_List!N26)</f>
        <v/>
      </c>
      <c r="E26" s="69" t="str">
        <f t="shared" si="0"/>
        <v/>
      </c>
      <c r="F26" s="69" t="str">
        <f>IF(A26="","",IFERROR(SUMIFS(Time_Tracking!$J$3:$J$202,Time_Tracking!$E$3:$E$202,A26),0))</f>
        <v/>
      </c>
      <c r="G26" s="69" t="str">
        <f>IF(A26="","",IFERROR(SUMIFS(Logistics!$K$3:$K$102,Logistics!$B$3:$B$102,A26),0))</f>
        <v/>
      </c>
      <c r="H26" s="69" t="str">
        <f t="shared" si="1"/>
        <v/>
      </c>
      <c r="I26" s="69" t="str">
        <f t="shared" si="2"/>
        <v/>
      </c>
      <c r="J26" s="170" t="str">
        <f t="shared" si="3"/>
        <v/>
      </c>
      <c r="K26" s="175" t="str">
        <f t="shared" si="4"/>
        <v/>
      </c>
      <c r="L26" s="61"/>
    </row>
    <row r="27" spans="1:12" ht="15" customHeight="1" x14ac:dyDescent="0.25">
      <c r="A27" s="173" t="str">
        <f>IF(Project_List!B27="","",Project_List!B27)</f>
        <v/>
      </c>
      <c r="B27" s="173" t="str">
        <f>IF(Project_List!B27="","",Project_List!C27)</f>
        <v/>
      </c>
      <c r="C27" s="174" t="str">
        <f>IF(Project_List!B27="","",Project_List!M27)</f>
        <v/>
      </c>
      <c r="D27" s="174" t="str">
        <f>IF(Project_List!B27="","",Project_List!N27)</f>
        <v/>
      </c>
      <c r="E27" s="69" t="str">
        <f t="shared" si="0"/>
        <v/>
      </c>
      <c r="F27" s="69" t="str">
        <f>IF(A27="","",IFERROR(SUMIFS(Time_Tracking!$J$3:$J$202,Time_Tracking!$E$3:$E$202,A27),0))</f>
        <v/>
      </c>
      <c r="G27" s="69" t="str">
        <f>IF(A27="","",IFERROR(SUMIFS(Logistics!$K$3:$K$102,Logistics!$B$3:$B$102,A27),0))</f>
        <v/>
      </c>
      <c r="H27" s="69" t="str">
        <f t="shared" si="1"/>
        <v/>
      </c>
      <c r="I27" s="69" t="str">
        <f t="shared" si="2"/>
        <v/>
      </c>
      <c r="J27" s="170" t="str">
        <f t="shared" si="3"/>
        <v/>
      </c>
      <c r="K27" s="175" t="str">
        <f t="shared" si="4"/>
        <v/>
      </c>
      <c r="L27" s="61"/>
    </row>
    <row r="28" spans="1:12" ht="15" customHeight="1" x14ac:dyDescent="0.25">
      <c r="A28" s="173" t="str">
        <f>IF(Project_List!B28="","",Project_List!B28)</f>
        <v/>
      </c>
      <c r="B28" s="173" t="str">
        <f>IF(Project_List!B28="","",Project_List!C28)</f>
        <v/>
      </c>
      <c r="C28" s="174" t="str">
        <f>IF(Project_List!B28="","",Project_List!M28)</f>
        <v/>
      </c>
      <c r="D28" s="174" t="str">
        <f>IF(Project_List!B28="","",Project_List!N28)</f>
        <v/>
      </c>
      <c r="E28" s="69" t="str">
        <f t="shared" si="0"/>
        <v/>
      </c>
      <c r="F28" s="69" t="str">
        <f>IF(A28="","",IFERROR(SUMIFS(Time_Tracking!$J$3:$J$202,Time_Tracking!$E$3:$E$202,A28),0))</f>
        <v/>
      </c>
      <c r="G28" s="69" t="str">
        <f>IF(A28="","",IFERROR(SUMIFS(Logistics!$K$3:$K$102,Logistics!$B$3:$B$102,A28),0))</f>
        <v/>
      </c>
      <c r="H28" s="69" t="str">
        <f t="shared" si="1"/>
        <v/>
      </c>
      <c r="I28" s="69" t="str">
        <f t="shared" si="2"/>
        <v/>
      </c>
      <c r="J28" s="170" t="str">
        <f t="shared" si="3"/>
        <v/>
      </c>
      <c r="K28" s="175" t="str">
        <f t="shared" si="4"/>
        <v/>
      </c>
      <c r="L28" s="61"/>
    </row>
    <row r="29" spans="1:12" ht="15" customHeight="1" x14ac:dyDescent="0.25">
      <c r="A29" s="173" t="str">
        <f>IF(Project_List!B29="","",Project_List!B29)</f>
        <v/>
      </c>
      <c r="B29" s="173" t="str">
        <f>IF(Project_List!B29="","",Project_List!C29)</f>
        <v/>
      </c>
      <c r="C29" s="174" t="str">
        <f>IF(Project_List!B29="","",Project_List!M29)</f>
        <v/>
      </c>
      <c r="D29" s="174" t="str">
        <f>IF(Project_List!B29="","",Project_List!N29)</f>
        <v/>
      </c>
      <c r="E29" s="69" t="str">
        <f t="shared" si="0"/>
        <v/>
      </c>
      <c r="F29" s="69" t="str">
        <f>IF(A29="","",IFERROR(SUMIFS(Time_Tracking!$J$3:$J$202,Time_Tracking!$E$3:$E$202,A29),0))</f>
        <v/>
      </c>
      <c r="G29" s="69" t="str">
        <f>IF(A29="","",IFERROR(SUMIFS(Logistics!$K$3:$K$102,Logistics!$B$3:$B$102,A29),0))</f>
        <v/>
      </c>
      <c r="H29" s="69" t="str">
        <f t="shared" si="1"/>
        <v/>
      </c>
      <c r="I29" s="69" t="str">
        <f t="shared" si="2"/>
        <v/>
      </c>
      <c r="J29" s="170" t="str">
        <f t="shared" si="3"/>
        <v/>
      </c>
      <c r="K29" s="175" t="str">
        <f t="shared" si="4"/>
        <v/>
      </c>
      <c r="L29" s="61"/>
    </row>
    <row r="30" spans="1:12" ht="15" customHeight="1" x14ac:dyDescent="0.25">
      <c r="A30" s="173" t="str">
        <f>IF(Project_List!B30="","",Project_List!B30)</f>
        <v/>
      </c>
      <c r="B30" s="173" t="str">
        <f>IF(Project_List!B30="","",Project_List!C30)</f>
        <v/>
      </c>
      <c r="C30" s="174" t="str">
        <f>IF(Project_List!B30="","",Project_List!M30)</f>
        <v/>
      </c>
      <c r="D30" s="174" t="str">
        <f>IF(Project_List!B30="","",Project_List!N30)</f>
        <v/>
      </c>
      <c r="E30" s="69" t="str">
        <f t="shared" si="0"/>
        <v/>
      </c>
      <c r="F30" s="69" t="str">
        <f>IF(A30="","",IFERROR(SUMIFS(Time_Tracking!$J$3:$J$202,Time_Tracking!$E$3:$E$202,A30),0))</f>
        <v/>
      </c>
      <c r="G30" s="69" t="str">
        <f>IF(A30="","",IFERROR(SUMIFS(Logistics!$K$3:$K$102,Logistics!$B$3:$B$102,A30),0))</f>
        <v/>
      </c>
      <c r="H30" s="69" t="str">
        <f t="shared" si="1"/>
        <v/>
      </c>
      <c r="I30" s="69" t="str">
        <f t="shared" si="2"/>
        <v/>
      </c>
      <c r="J30" s="170" t="str">
        <f t="shared" si="3"/>
        <v/>
      </c>
      <c r="K30" s="175" t="str">
        <f t="shared" si="4"/>
        <v/>
      </c>
      <c r="L30" s="61"/>
    </row>
    <row r="31" spans="1:12" ht="15" customHeight="1" x14ac:dyDescent="0.25">
      <c r="A31" s="173" t="str">
        <f>IF(Project_List!B31="","",Project_List!B31)</f>
        <v/>
      </c>
      <c r="B31" s="173" t="str">
        <f>IF(Project_List!B31="","",Project_List!C31)</f>
        <v/>
      </c>
      <c r="C31" s="174" t="str">
        <f>IF(Project_List!B31="","",Project_List!M31)</f>
        <v/>
      </c>
      <c r="D31" s="174" t="str">
        <f>IF(Project_List!B31="","",Project_List!N31)</f>
        <v/>
      </c>
      <c r="E31" s="69" t="str">
        <f t="shared" si="0"/>
        <v/>
      </c>
      <c r="F31" s="69" t="str">
        <f>IF(A31="","",IFERROR(SUMIFS(Time_Tracking!$J$3:$J$202,Time_Tracking!$E$3:$E$202,A31),0))</f>
        <v/>
      </c>
      <c r="G31" s="69" t="str">
        <f>IF(A31="","",IFERROR(SUMIFS(Logistics!$K$3:$K$102,Logistics!$B$3:$B$102,A31),0))</f>
        <v/>
      </c>
      <c r="H31" s="69" t="str">
        <f t="shared" si="1"/>
        <v/>
      </c>
      <c r="I31" s="69" t="str">
        <f t="shared" si="2"/>
        <v/>
      </c>
      <c r="J31" s="170" t="str">
        <f t="shared" si="3"/>
        <v/>
      </c>
      <c r="K31" s="175" t="str">
        <f t="shared" si="4"/>
        <v/>
      </c>
      <c r="L31" s="61"/>
    </row>
    <row r="32" spans="1:12" ht="15" customHeight="1" x14ac:dyDescent="0.25">
      <c r="A32" s="173" t="str">
        <f>IF(Project_List!B32="","",Project_List!B32)</f>
        <v/>
      </c>
      <c r="B32" s="173" t="str">
        <f>IF(Project_List!B32="","",Project_List!C32)</f>
        <v/>
      </c>
      <c r="C32" s="174" t="str">
        <f>IF(Project_List!B32="","",Project_List!M32)</f>
        <v/>
      </c>
      <c r="D32" s="174" t="str">
        <f>IF(Project_List!B32="","",Project_List!N32)</f>
        <v/>
      </c>
      <c r="E32" s="69" t="str">
        <f t="shared" si="0"/>
        <v/>
      </c>
      <c r="F32" s="69" t="str">
        <f>IF(A32="","",IFERROR(SUMIFS(Time_Tracking!$J$3:$J$202,Time_Tracking!$E$3:$E$202,A32),0))</f>
        <v/>
      </c>
      <c r="G32" s="69" t="str">
        <f>IF(A32="","",IFERROR(SUMIFS(Logistics!$K$3:$K$102,Logistics!$B$3:$B$102,A32),0))</f>
        <v/>
      </c>
      <c r="H32" s="69" t="str">
        <f t="shared" si="1"/>
        <v/>
      </c>
      <c r="I32" s="69" t="str">
        <f t="shared" si="2"/>
        <v/>
      </c>
      <c r="J32" s="170" t="str">
        <f t="shared" si="3"/>
        <v/>
      </c>
      <c r="K32" s="175" t="str">
        <f t="shared" si="4"/>
        <v/>
      </c>
      <c r="L32" s="61"/>
    </row>
    <row r="33" spans="1:12" ht="15" customHeight="1" x14ac:dyDescent="0.25">
      <c r="A33" s="173" t="str">
        <f>IF(Project_List!B33="","",Project_List!B33)</f>
        <v/>
      </c>
      <c r="B33" s="173" t="str">
        <f>IF(Project_List!B33="","",Project_List!C33)</f>
        <v/>
      </c>
      <c r="C33" s="174" t="str">
        <f>IF(Project_List!B33="","",Project_List!M33)</f>
        <v/>
      </c>
      <c r="D33" s="174" t="str">
        <f>IF(Project_List!B33="","",Project_List!N33)</f>
        <v/>
      </c>
      <c r="E33" s="69" t="str">
        <f t="shared" si="0"/>
        <v/>
      </c>
      <c r="F33" s="69" t="str">
        <f>IF(A33="","",IFERROR(SUMIFS(Time_Tracking!$J$3:$J$202,Time_Tracking!$E$3:$E$202,A33),0))</f>
        <v/>
      </c>
      <c r="G33" s="69" t="str">
        <f>IF(A33="","",IFERROR(SUMIFS(Logistics!$K$3:$K$102,Logistics!$B$3:$B$102,A33),0))</f>
        <v/>
      </c>
      <c r="H33" s="69" t="str">
        <f t="shared" si="1"/>
        <v/>
      </c>
      <c r="I33" s="69" t="str">
        <f t="shared" si="2"/>
        <v/>
      </c>
      <c r="J33" s="170" t="str">
        <f t="shared" si="3"/>
        <v/>
      </c>
      <c r="K33" s="175" t="str">
        <f t="shared" si="4"/>
        <v/>
      </c>
      <c r="L33" s="61"/>
    </row>
    <row r="34" spans="1:12" ht="15" customHeight="1" x14ac:dyDescent="0.25">
      <c r="A34" s="173" t="str">
        <f>IF(Project_List!B34="","",Project_List!B34)</f>
        <v/>
      </c>
      <c r="B34" s="173" t="str">
        <f>IF(Project_List!B34="","",Project_List!C34)</f>
        <v/>
      </c>
      <c r="C34" s="174" t="str">
        <f>IF(Project_List!B34="","",Project_List!M34)</f>
        <v/>
      </c>
      <c r="D34" s="174" t="str">
        <f>IF(Project_List!B34="","",Project_List!N34)</f>
        <v/>
      </c>
      <c r="E34" s="69" t="str">
        <f t="shared" si="0"/>
        <v/>
      </c>
      <c r="F34" s="69" t="str">
        <f>IF(A34="","",IFERROR(SUMIFS(Time_Tracking!$J$3:$J$202,Time_Tracking!$E$3:$E$202,A34),0))</f>
        <v/>
      </c>
      <c r="G34" s="69" t="str">
        <f>IF(A34="","",IFERROR(SUMIFS(Logistics!$K$3:$K$102,Logistics!$B$3:$B$102,A34),0))</f>
        <v/>
      </c>
      <c r="H34" s="69" t="str">
        <f t="shared" si="1"/>
        <v/>
      </c>
      <c r="I34" s="69" t="str">
        <f t="shared" si="2"/>
        <v/>
      </c>
      <c r="J34" s="170" t="str">
        <f t="shared" si="3"/>
        <v/>
      </c>
      <c r="K34" s="175" t="str">
        <f t="shared" si="4"/>
        <v/>
      </c>
      <c r="L34" s="61"/>
    </row>
    <row r="35" spans="1:12" ht="15" customHeight="1" x14ac:dyDescent="0.25">
      <c r="A35" s="173" t="str">
        <f>IF(Project_List!B35="","",Project_List!B35)</f>
        <v/>
      </c>
      <c r="B35" s="173" t="str">
        <f>IF(Project_List!B35="","",Project_List!C35)</f>
        <v/>
      </c>
      <c r="C35" s="174" t="str">
        <f>IF(Project_List!B35="","",Project_List!M35)</f>
        <v/>
      </c>
      <c r="D35" s="174" t="str">
        <f>IF(Project_List!B35="","",Project_List!N35)</f>
        <v/>
      </c>
      <c r="E35" s="69" t="str">
        <f t="shared" ref="E35:E66" si="5">IF(A35="","",IFERROR(SUMIFS(Cutting_Total_Cost,Cutting_Project,A35),0))</f>
        <v/>
      </c>
      <c r="F35" s="69" t="str">
        <f>IF(A35="","",IFERROR(SUMIFS(Time_Tracking!$J$3:$J$202,Time_Tracking!$E$3:$E$202,A35),0))</f>
        <v/>
      </c>
      <c r="G35" s="69" t="str">
        <f>IF(A35="","",IFERROR(SUMIFS(Logistics!$K$3:$K$102,Logistics!$B$3:$B$102,A35),0))</f>
        <v/>
      </c>
      <c r="H35" s="69" t="str">
        <f t="shared" ref="H35:H66" si="6">IF(A35="","",E35+F35+G35)</f>
        <v/>
      </c>
      <c r="I35" s="69" t="str">
        <f t="shared" ref="I35:I66" si="7">IF(A35="","",D35-H35)</f>
        <v/>
      </c>
      <c r="J35" s="170" t="str">
        <f t="shared" ref="J35:J66" si="8">IFERROR(IF(OR(A35="",D35=0),"",I35/D35),"")</f>
        <v/>
      </c>
      <c r="K35" s="175" t="str">
        <f t="shared" ref="K35:K66" si="9">IF(A35="","",IF(J35="","—",IF(J35&gt;=0.05,"Under budget",IF(J35&gt;=-0.05,"On budget",IF(J35&gt;=-0.15,"Over","Critical over")))))</f>
        <v/>
      </c>
      <c r="L35" s="61"/>
    </row>
    <row r="36" spans="1:12" ht="15" customHeight="1" x14ac:dyDescent="0.25">
      <c r="A36" s="173" t="str">
        <f>IF(Project_List!B36="","",Project_List!B36)</f>
        <v/>
      </c>
      <c r="B36" s="173" t="str">
        <f>IF(Project_List!B36="","",Project_List!C36)</f>
        <v/>
      </c>
      <c r="C36" s="174" t="str">
        <f>IF(Project_List!B36="","",Project_List!M36)</f>
        <v/>
      </c>
      <c r="D36" s="174" t="str">
        <f>IF(Project_List!B36="","",Project_List!N36)</f>
        <v/>
      </c>
      <c r="E36" s="69" t="str">
        <f t="shared" si="5"/>
        <v/>
      </c>
      <c r="F36" s="69" t="str">
        <f>IF(A36="","",IFERROR(SUMIFS(Time_Tracking!$J$3:$J$202,Time_Tracking!$E$3:$E$202,A36),0))</f>
        <v/>
      </c>
      <c r="G36" s="69" t="str">
        <f>IF(A36="","",IFERROR(SUMIFS(Logistics!$K$3:$K$102,Logistics!$B$3:$B$102,A36),0))</f>
        <v/>
      </c>
      <c r="H36" s="69" t="str">
        <f t="shared" si="6"/>
        <v/>
      </c>
      <c r="I36" s="69" t="str">
        <f t="shared" si="7"/>
        <v/>
      </c>
      <c r="J36" s="170" t="str">
        <f t="shared" si="8"/>
        <v/>
      </c>
      <c r="K36" s="175" t="str">
        <f t="shared" si="9"/>
        <v/>
      </c>
      <c r="L36" s="61"/>
    </row>
    <row r="37" spans="1:12" ht="15" customHeight="1" x14ac:dyDescent="0.25">
      <c r="A37" s="173" t="str">
        <f>IF(Project_List!B37="","",Project_List!B37)</f>
        <v/>
      </c>
      <c r="B37" s="173" t="str">
        <f>IF(Project_List!B37="","",Project_List!C37)</f>
        <v/>
      </c>
      <c r="C37" s="174" t="str">
        <f>IF(Project_List!B37="","",Project_List!M37)</f>
        <v/>
      </c>
      <c r="D37" s="174" t="str">
        <f>IF(Project_List!B37="","",Project_List!N37)</f>
        <v/>
      </c>
      <c r="E37" s="69" t="str">
        <f t="shared" si="5"/>
        <v/>
      </c>
      <c r="F37" s="69" t="str">
        <f>IF(A37="","",IFERROR(SUMIFS(Time_Tracking!$J$3:$J$202,Time_Tracking!$E$3:$E$202,A37),0))</f>
        <v/>
      </c>
      <c r="G37" s="69" t="str">
        <f>IF(A37="","",IFERROR(SUMIFS(Logistics!$K$3:$K$102,Logistics!$B$3:$B$102,A37),0))</f>
        <v/>
      </c>
      <c r="H37" s="69" t="str">
        <f t="shared" si="6"/>
        <v/>
      </c>
      <c r="I37" s="69" t="str">
        <f t="shared" si="7"/>
        <v/>
      </c>
      <c r="J37" s="170" t="str">
        <f t="shared" si="8"/>
        <v/>
      </c>
      <c r="K37" s="175" t="str">
        <f t="shared" si="9"/>
        <v/>
      </c>
      <c r="L37" s="61"/>
    </row>
    <row r="38" spans="1:12" ht="15" customHeight="1" x14ac:dyDescent="0.25">
      <c r="A38" s="173" t="str">
        <f>IF(Project_List!B38="","",Project_List!B38)</f>
        <v/>
      </c>
      <c r="B38" s="173" t="str">
        <f>IF(Project_List!B38="","",Project_List!C38)</f>
        <v/>
      </c>
      <c r="C38" s="174" t="str">
        <f>IF(Project_List!B38="","",Project_List!M38)</f>
        <v/>
      </c>
      <c r="D38" s="174" t="str">
        <f>IF(Project_List!B38="","",Project_List!N38)</f>
        <v/>
      </c>
      <c r="E38" s="69" t="str">
        <f t="shared" si="5"/>
        <v/>
      </c>
      <c r="F38" s="69" t="str">
        <f>IF(A38="","",IFERROR(SUMIFS(Time_Tracking!$J$3:$J$202,Time_Tracking!$E$3:$E$202,A38),0))</f>
        <v/>
      </c>
      <c r="G38" s="69" t="str">
        <f>IF(A38="","",IFERROR(SUMIFS(Logistics!$K$3:$K$102,Logistics!$B$3:$B$102,A38),0))</f>
        <v/>
      </c>
      <c r="H38" s="69" t="str">
        <f t="shared" si="6"/>
        <v/>
      </c>
      <c r="I38" s="69" t="str">
        <f t="shared" si="7"/>
        <v/>
      </c>
      <c r="J38" s="170" t="str">
        <f t="shared" si="8"/>
        <v/>
      </c>
      <c r="K38" s="175" t="str">
        <f t="shared" si="9"/>
        <v/>
      </c>
      <c r="L38" s="61"/>
    </row>
    <row r="39" spans="1:12" ht="15" customHeight="1" x14ac:dyDescent="0.25">
      <c r="A39" s="173" t="str">
        <f>IF(Project_List!B39="","",Project_List!B39)</f>
        <v/>
      </c>
      <c r="B39" s="173" t="str">
        <f>IF(Project_List!B39="","",Project_List!C39)</f>
        <v/>
      </c>
      <c r="C39" s="174" t="str">
        <f>IF(Project_List!B39="","",Project_List!M39)</f>
        <v/>
      </c>
      <c r="D39" s="174" t="str">
        <f>IF(Project_List!B39="","",Project_List!N39)</f>
        <v/>
      </c>
      <c r="E39" s="69" t="str">
        <f t="shared" si="5"/>
        <v/>
      </c>
      <c r="F39" s="69" t="str">
        <f>IF(A39="","",IFERROR(SUMIFS(Time_Tracking!$J$3:$J$202,Time_Tracking!$E$3:$E$202,A39),0))</f>
        <v/>
      </c>
      <c r="G39" s="69" t="str">
        <f>IF(A39="","",IFERROR(SUMIFS(Logistics!$K$3:$K$102,Logistics!$B$3:$B$102,A39),0))</f>
        <v/>
      </c>
      <c r="H39" s="69" t="str">
        <f t="shared" si="6"/>
        <v/>
      </c>
      <c r="I39" s="69" t="str">
        <f t="shared" si="7"/>
        <v/>
      </c>
      <c r="J39" s="170" t="str">
        <f t="shared" si="8"/>
        <v/>
      </c>
      <c r="K39" s="175" t="str">
        <f t="shared" si="9"/>
        <v/>
      </c>
      <c r="L39" s="61"/>
    </row>
    <row r="40" spans="1:12" ht="15" customHeight="1" x14ac:dyDescent="0.25">
      <c r="A40" s="173" t="str">
        <f>IF(Project_List!B40="","",Project_List!B40)</f>
        <v/>
      </c>
      <c r="B40" s="173" t="str">
        <f>IF(Project_List!B40="","",Project_List!C40)</f>
        <v/>
      </c>
      <c r="C40" s="174" t="str">
        <f>IF(Project_List!B40="","",Project_List!M40)</f>
        <v/>
      </c>
      <c r="D40" s="174" t="str">
        <f>IF(Project_List!B40="","",Project_List!N40)</f>
        <v/>
      </c>
      <c r="E40" s="69" t="str">
        <f t="shared" si="5"/>
        <v/>
      </c>
      <c r="F40" s="69" t="str">
        <f>IF(A40="","",IFERROR(SUMIFS(Time_Tracking!$J$3:$J$202,Time_Tracking!$E$3:$E$202,A40),0))</f>
        <v/>
      </c>
      <c r="G40" s="69" t="str">
        <f>IF(A40="","",IFERROR(SUMIFS(Logistics!$K$3:$K$102,Logistics!$B$3:$B$102,A40),0))</f>
        <v/>
      </c>
      <c r="H40" s="69" t="str">
        <f t="shared" si="6"/>
        <v/>
      </c>
      <c r="I40" s="69" t="str">
        <f t="shared" si="7"/>
        <v/>
      </c>
      <c r="J40" s="170" t="str">
        <f t="shared" si="8"/>
        <v/>
      </c>
      <c r="K40" s="175" t="str">
        <f t="shared" si="9"/>
        <v/>
      </c>
      <c r="L40" s="61"/>
    </row>
    <row r="41" spans="1:12" ht="15" customHeight="1" x14ac:dyDescent="0.25">
      <c r="A41" s="173" t="str">
        <f>IF(Project_List!B41="","",Project_List!B41)</f>
        <v/>
      </c>
      <c r="B41" s="173" t="str">
        <f>IF(Project_List!B41="","",Project_List!C41)</f>
        <v/>
      </c>
      <c r="C41" s="174" t="str">
        <f>IF(Project_List!B41="","",Project_List!M41)</f>
        <v/>
      </c>
      <c r="D41" s="174" t="str">
        <f>IF(Project_List!B41="","",Project_List!N41)</f>
        <v/>
      </c>
      <c r="E41" s="69" t="str">
        <f t="shared" si="5"/>
        <v/>
      </c>
      <c r="F41" s="69" t="str">
        <f>IF(A41="","",IFERROR(SUMIFS(Time_Tracking!$J$3:$J$202,Time_Tracking!$E$3:$E$202,A41),0))</f>
        <v/>
      </c>
      <c r="G41" s="69" t="str">
        <f>IF(A41="","",IFERROR(SUMIFS(Logistics!$K$3:$K$102,Logistics!$B$3:$B$102,A41),0))</f>
        <v/>
      </c>
      <c r="H41" s="69" t="str">
        <f t="shared" si="6"/>
        <v/>
      </c>
      <c r="I41" s="69" t="str">
        <f t="shared" si="7"/>
        <v/>
      </c>
      <c r="J41" s="170" t="str">
        <f t="shared" si="8"/>
        <v/>
      </c>
      <c r="K41" s="175" t="str">
        <f t="shared" si="9"/>
        <v/>
      </c>
      <c r="L41" s="61"/>
    </row>
    <row r="42" spans="1:12" ht="15" customHeight="1" x14ac:dyDescent="0.25">
      <c r="A42" s="173" t="str">
        <f>IF(Project_List!B42="","",Project_List!B42)</f>
        <v/>
      </c>
      <c r="B42" s="173" t="str">
        <f>IF(Project_List!B42="","",Project_List!C42)</f>
        <v/>
      </c>
      <c r="C42" s="174" t="str">
        <f>IF(Project_List!B42="","",Project_List!M42)</f>
        <v/>
      </c>
      <c r="D42" s="174" t="str">
        <f>IF(Project_List!B42="","",Project_List!N42)</f>
        <v/>
      </c>
      <c r="E42" s="69" t="str">
        <f t="shared" si="5"/>
        <v/>
      </c>
      <c r="F42" s="69" t="str">
        <f>IF(A42="","",IFERROR(SUMIFS(Time_Tracking!$J$3:$J$202,Time_Tracking!$E$3:$E$202,A42),0))</f>
        <v/>
      </c>
      <c r="G42" s="69" t="str">
        <f>IF(A42="","",IFERROR(SUMIFS(Logistics!$K$3:$K$102,Logistics!$B$3:$B$102,A42),0))</f>
        <v/>
      </c>
      <c r="H42" s="69" t="str">
        <f t="shared" si="6"/>
        <v/>
      </c>
      <c r="I42" s="69" t="str">
        <f t="shared" si="7"/>
        <v/>
      </c>
      <c r="J42" s="170" t="str">
        <f t="shared" si="8"/>
        <v/>
      </c>
      <c r="K42" s="175" t="str">
        <f t="shared" si="9"/>
        <v/>
      </c>
      <c r="L42" s="61"/>
    </row>
    <row r="43" spans="1:12" ht="15" customHeight="1" x14ac:dyDescent="0.25">
      <c r="A43" s="173" t="str">
        <f>IF(Project_List!B43="","",Project_List!B43)</f>
        <v/>
      </c>
      <c r="B43" s="173" t="str">
        <f>IF(Project_List!B43="","",Project_List!C43)</f>
        <v/>
      </c>
      <c r="C43" s="174" t="str">
        <f>IF(Project_List!B43="","",Project_List!M43)</f>
        <v/>
      </c>
      <c r="D43" s="174" t="str">
        <f>IF(Project_List!B43="","",Project_List!N43)</f>
        <v/>
      </c>
      <c r="E43" s="69" t="str">
        <f t="shared" si="5"/>
        <v/>
      </c>
      <c r="F43" s="69" t="str">
        <f>IF(A43="","",IFERROR(SUMIFS(Time_Tracking!$J$3:$J$202,Time_Tracking!$E$3:$E$202,A43),0))</f>
        <v/>
      </c>
      <c r="G43" s="69" t="str">
        <f>IF(A43="","",IFERROR(SUMIFS(Logistics!$K$3:$K$102,Logistics!$B$3:$B$102,A43),0))</f>
        <v/>
      </c>
      <c r="H43" s="69" t="str">
        <f t="shared" si="6"/>
        <v/>
      </c>
      <c r="I43" s="69" t="str">
        <f t="shared" si="7"/>
        <v/>
      </c>
      <c r="J43" s="170" t="str">
        <f t="shared" si="8"/>
        <v/>
      </c>
      <c r="K43" s="175" t="str">
        <f t="shared" si="9"/>
        <v/>
      </c>
      <c r="L43" s="61"/>
    </row>
    <row r="44" spans="1:12" ht="15" customHeight="1" x14ac:dyDescent="0.25">
      <c r="A44" s="173" t="str">
        <f>IF(Project_List!B44="","",Project_List!B44)</f>
        <v/>
      </c>
      <c r="B44" s="173" t="str">
        <f>IF(Project_List!B44="","",Project_List!C44)</f>
        <v/>
      </c>
      <c r="C44" s="174" t="str">
        <f>IF(Project_List!B44="","",Project_List!M44)</f>
        <v/>
      </c>
      <c r="D44" s="174" t="str">
        <f>IF(Project_List!B44="","",Project_List!N44)</f>
        <v/>
      </c>
      <c r="E44" s="69" t="str">
        <f t="shared" si="5"/>
        <v/>
      </c>
      <c r="F44" s="69" t="str">
        <f>IF(A44="","",IFERROR(SUMIFS(Time_Tracking!$J$3:$J$202,Time_Tracking!$E$3:$E$202,A44),0))</f>
        <v/>
      </c>
      <c r="G44" s="69" t="str">
        <f>IF(A44="","",IFERROR(SUMIFS(Logistics!$K$3:$K$102,Logistics!$B$3:$B$102,A44),0))</f>
        <v/>
      </c>
      <c r="H44" s="69" t="str">
        <f t="shared" si="6"/>
        <v/>
      </c>
      <c r="I44" s="69" t="str">
        <f t="shared" si="7"/>
        <v/>
      </c>
      <c r="J44" s="170" t="str">
        <f t="shared" si="8"/>
        <v/>
      </c>
      <c r="K44" s="175" t="str">
        <f t="shared" si="9"/>
        <v/>
      </c>
      <c r="L44" s="61"/>
    </row>
    <row r="45" spans="1:12" ht="15" customHeight="1" x14ac:dyDescent="0.25">
      <c r="A45" s="173" t="str">
        <f>IF(Project_List!B45="","",Project_List!B45)</f>
        <v/>
      </c>
      <c r="B45" s="173" t="str">
        <f>IF(Project_List!B45="","",Project_List!C45)</f>
        <v/>
      </c>
      <c r="C45" s="174" t="str">
        <f>IF(Project_List!B45="","",Project_List!M45)</f>
        <v/>
      </c>
      <c r="D45" s="174" t="str">
        <f>IF(Project_List!B45="","",Project_List!N45)</f>
        <v/>
      </c>
      <c r="E45" s="69" t="str">
        <f t="shared" si="5"/>
        <v/>
      </c>
      <c r="F45" s="69" t="str">
        <f>IF(A45="","",IFERROR(SUMIFS(Time_Tracking!$J$3:$J$202,Time_Tracking!$E$3:$E$202,A45),0))</f>
        <v/>
      </c>
      <c r="G45" s="69" t="str">
        <f>IF(A45="","",IFERROR(SUMIFS(Logistics!$K$3:$K$102,Logistics!$B$3:$B$102,A45),0))</f>
        <v/>
      </c>
      <c r="H45" s="69" t="str">
        <f t="shared" si="6"/>
        <v/>
      </c>
      <c r="I45" s="69" t="str">
        <f t="shared" si="7"/>
        <v/>
      </c>
      <c r="J45" s="170" t="str">
        <f t="shared" si="8"/>
        <v/>
      </c>
      <c r="K45" s="175" t="str">
        <f t="shared" si="9"/>
        <v/>
      </c>
      <c r="L45" s="61"/>
    </row>
    <row r="46" spans="1:12" ht="15" customHeight="1" x14ac:dyDescent="0.25">
      <c r="A46" s="173" t="str">
        <f>IF(Project_List!B46="","",Project_List!B46)</f>
        <v/>
      </c>
      <c r="B46" s="173" t="str">
        <f>IF(Project_List!B46="","",Project_List!C46)</f>
        <v/>
      </c>
      <c r="C46" s="174" t="str">
        <f>IF(Project_List!B46="","",Project_List!M46)</f>
        <v/>
      </c>
      <c r="D46" s="174" t="str">
        <f>IF(Project_List!B46="","",Project_List!N46)</f>
        <v/>
      </c>
      <c r="E46" s="69" t="str">
        <f t="shared" si="5"/>
        <v/>
      </c>
      <c r="F46" s="69" t="str">
        <f>IF(A46="","",IFERROR(SUMIFS(Time_Tracking!$J$3:$J$202,Time_Tracking!$E$3:$E$202,A46),0))</f>
        <v/>
      </c>
      <c r="G46" s="69" t="str">
        <f>IF(A46="","",IFERROR(SUMIFS(Logistics!$K$3:$K$102,Logistics!$B$3:$B$102,A46),0))</f>
        <v/>
      </c>
      <c r="H46" s="69" t="str">
        <f t="shared" si="6"/>
        <v/>
      </c>
      <c r="I46" s="69" t="str">
        <f t="shared" si="7"/>
        <v/>
      </c>
      <c r="J46" s="170" t="str">
        <f t="shared" si="8"/>
        <v/>
      </c>
      <c r="K46" s="175" t="str">
        <f t="shared" si="9"/>
        <v/>
      </c>
      <c r="L46" s="61"/>
    </row>
    <row r="47" spans="1:12" ht="15" customHeight="1" x14ac:dyDescent="0.25">
      <c r="A47" s="173" t="str">
        <f>IF(Project_List!B47="","",Project_List!B47)</f>
        <v/>
      </c>
      <c r="B47" s="173" t="str">
        <f>IF(Project_List!B47="","",Project_List!C47)</f>
        <v/>
      </c>
      <c r="C47" s="174" t="str">
        <f>IF(Project_List!B47="","",Project_List!M47)</f>
        <v/>
      </c>
      <c r="D47" s="174" t="str">
        <f>IF(Project_List!B47="","",Project_List!N47)</f>
        <v/>
      </c>
      <c r="E47" s="69" t="str">
        <f t="shared" si="5"/>
        <v/>
      </c>
      <c r="F47" s="69" t="str">
        <f>IF(A47="","",IFERROR(SUMIFS(Time_Tracking!$J$3:$J$202,Time_Tracking!$E$3:$E$202,A47),0))</f>
        <v/>
      </c>
      <c r="G47" s="69" t="str">
        <f>IF(A47="","",IFERROR(SUMIFS(Logistics!$K$3:$K$102,Logistics!$B$3:$B$102,A47),0))</f>
        <v/>
      </c>
      <c r="H47" s="69" t="str">
        <f t="shared" si="6"/>
        <v/>
      </c>
      <c r="I47" s="69" t="str">
        <f t="shared" si="7"/>
        <v/>
      </c>
      <c r="J47" s="170" t="str">
        <f t="shared" si="8"/>
        <v/>
      </c>
      <c r="K47" s="175" t="str">
        <f t="shared" si="9"/>
        <v/>
      </c>
      <c r="L47" s="61"/>
    </row>
    <row r="48" spans="1:12" ht="15" customHeight="1" x14ac:dyDescent="0.25">
      <c r="A48" s="173" t="str">
        <f>IF(Project_List!B48="","",Project_List!B48)</f>
        <v/>
      </c>
      <c r="B48" s="173" t="str">
        <f>IF(Project_List!B48="","",Project_List!C48)</f>
        <v/>
      </c>
      <c r="C48" s="174" t="str">
        <f>IF(Project_List!B48="","",Project_List!M48)</f>
        <v/>
      </c>
      <c r="D48" s="174" t="str">
        <f>IF(Project_List!B48="","",Project_List!N48)</f>
        <v/>
      </c>
      <c r="E48" s="69" t="str">
        <f t="shared" si="5"/>
        <v/>
      </c>
      <c r="F48" s="69" t="str">
        <f>IF(A48="","",IFERROR(SUMIFS(Time_Tracking!$J$3:$J$202,Time_Tracking!$E$3:$E$202,A48),0))</f>
        <v/>
      </c>
      <c r="G48" s="69" t="str">
        <f>IF(A48="","",IFERROR(SUMIFS(Logistics!$K$3:$K$102,Logistics!$B$3:$B$102,A48),0))</f>
        <v/>
      </c>
      <c r="H48" s="69" t="str">
        <f t="shared" si="6"/>
        <v/>
      </c>
      <c r="I48" s="69" t="str">
        <f t="shared" si="7"/>
        <v/>
      </c>
      <c r="J48" s="170" t="str">
        <f t="shared" si="8"/>
        <v/>
      </c>
      <c r="K48" s="175" t="str">
        <f t="shared" si="9"/>
        <v/>
      </c>
      <c r="L48" s="61"/>
    </row>
    <row r="49" spans="1:12" ht="15" customHeight="1" x14ac:dyDescent="0.25">
      <c r="A49" s="173" t="str">
        <f>IF(Project_List!B49="","",Project_List!B49)</f>
        <v/>
      </c>
      <c r="B49" s="173" t="str">
        <f>IF(Project_List!B49="","",Project_List!C49)</f>
        <v/>
      </c>
      <c r="C49" s="174" t="str">
        <f>IF(Project_List!B49="","",Project_List!M49)</f>
        <v/>
      </c>
      <c r="D49" s="174" t="str">
        <f>IF(Project_List!B49="","",Project_List!N49)</f>
        <v/>
      </c>
      <c r="E49" s="69" t="str">
        <f t="shared" si="5"/>
        <v/>
      </c>
      <c r="F49" s="69" t="str">
        <f>IF(A49="","",IFERROR(SUMIFS(Time_Tracking!$J$3:$J$202,Time_Tracking!$E$3:$E$202,A49),0))</f>
        <v/>
      </c>
      <c r="G49" s="69" t="str">
        <f>IF(A49="","",IFERROR(SUMIFS(Logistics!$K$3:$K$102,Logistics!$B$3:$B$102,A49),0))</f>
        <v/>
      </c>
      <c r="H49" s="69" t="str">
        <f t="shared" si="6"/>
        <v/>
      </c>
      <c r="I49" s="69" t="str">
        <f t="shared" si="7"/>
        <v/>
      </c>
      <c r="J49" s="170" t="str">
        <f t="shared" si="8"/>
        <v/>
      </c>
      <c r="K49" s="175" t="str">
        <f t="shared" si="9"/>
        <v/>
      </c>
      <c r="L49" s="61"/>
    </row>
    <row r="50" spans="1:12" ht="15" customHeight="1" x14ac:dyDescent="0.25">
      <c r="A50" s="173" t="str">
        <f>IF(Project_List!B50="","",Project_List!B50)</f>
        <v/>
      </c>
      <c r="B50" s="173" t="str">
        <f>IF(Project_List!B50="","",Project_List!C50)</f>
        <v/>
      </c>
      <c r="C50" s="174" t="str">
        <f>IF(Project_List!B50="","",Project_List!M50)</f>
        <v/>
      </c>
      <c r="D50" s="174" t="str">
        <f>IF(Project_List!B50="","",Project_List!N50)</f>
        <v/>
      </c>
      <c r="E50" s="69" t="str">
        <f t="shared" si="5"/>
        <v/>
      </c>
      <c r="F50" s="69" t="str">
        <f>IF(A50="","",IFERROR(SUMIFS(Time_Tracking!$J$3:$J$202,Time_Tracking!$E$3:$E$202,A50),0))</f>
        <v/>
      </c>
      <c r="G50" s="69" t="str">
        <f>IF(A50="","",IFERROR(SUMIFS(Logistics!$K$3:$K$102,Logistics!$B$3:$B$102,A50),0))</f>
        <v/>
      </c>
      <c r="H50" s="69" t="str">
        <f t="shared" si="6"/>
        <v/>
      </c>
      <c r="I50" s="69" t="str">
        <f t="shared" si="7"/>
        <v/>
      </c>
      <c r="J50" s="170" t="str">
        <f t="shared" si="8"/>
        <v/>
      </c>
      <c r="K50" s="175" t="str">
        <f t="shared" si="9"/>
        <v/>
      </c>
      <c r="L50" s="61"/>
    </row>
    <row r="51" spans="1:12" ht="15" customHeight="1" x14ac:dyDescent="0.25">
      <c r="A51" s="173" t="str">
        <f>IF(Project_List!B51="","",Project_List!B51)</f>
        <v/>
      </c>
      <c r="B51" s="173" t="str">
        <f>IF(Project_List!B51="","",Project_List!C51)</f>
        <v/>
      </c>
      <c r="C51" s="174" t="str">
        <f>IF(Project_List!B51="","",Project_List!M51)</f>
        <v/>
      </c>
      <c r="D51" s="174" t="str">
        <f>IF(Project_List!B51="","",Project_List!N51)</f>
        <v/>
      </c>
      <c r="E51" s="69" t="str">
        <f t="shared" si="5"/>
        <v/>
      </c>
      <c r="F51" s="69" t="str">
        <f>IF(A51="","",IFERROR(SUMIFS(Time_Tracking!$J$3:$J$202,Time_Tracking!$E$3:$E$202,A51),0))</f>
        <v/>
      </c>
      <c r="G51" s="69" t="str">
        <f>IF(A51="","",IFERROR(SUMIFS(Logistics!$K$3:$K$102,Logistics!$B$3:$B$102,A51),0))</f>
        <v/>
      </c>
      <c r="H51" s="69" t="str">
        <f t="shared" si="6"/>
        <v/>
      </c>
      <c r="I51" s="69" t="str">
        <f t="shared" si="7"/>
        <v/>
      </c>
      <c r="J51" s="170" t="str">
        <f t="shared" si="8"/>
        <v/>
      </c>
      <c r="K51" s="175" t="str">
        <f t="shared" si="9"/>
        <v/>
      </c>
      <c r="L51" s="61"/>
    </row>
    <row r="52" spans="1:12" ht="15" customHeight="1" x14ac:dyDescent="0.25">
      <c r="A52" s="173" t="str">
        <f>IF(Project_List!B52="","",Project_List!B52)</f>
        <v/>
      </c>
      <c r="B52" s="173" t="str">
        <f>IF(Project_List!B52="","",Project_List!C52)</f>
        <v/>
      </c>
      <c r="C52" s="174" t="str">
        <f>IF(Project_List!B52="","",Project_List!M52)</f>
        <v/>
      </c>
      <c r="D52" s="174" t="str">
        <f>IF(Project_List!B52="","",Project_List!N52)</f>
        <v/>
      </c>
      <c r="E52" s="69" t="str">
        <f t="shared" si="5"/>
        <v/>
      </c>
      <c r="F52" s="69" t="str">
        <f>IF(A52="","",IFERROR(SUMIFS(Time_Tracking!$J$3:$J$202,Time_Tracking!$E$3:$E$202,A52),0))</f>
        <v/>
      </c>
      <c r="G52" s="69" t="str">
        <f>IF(A52="","",IFERROR(SUMIFS(Logistics!$K$3:$K$102,Logistics!$B$3:$B$102,A52),0))</f>
        <v/>
      </c>
      <c r="H52" s="69" t="str">
        <f t="shared" si="6"/>
        <v/>
      </c>
      <c r="I52" s="69" t="str">
        <f t="shared" si="7"/>
        <v/>
      </c>
      <c r="J52" s="170" t="str">
        <f t="shared" si="8"/>
        <v/>
      </c>
      <c r="K52" s="175" t="str">
        <f t="shared" si="9"/>
        <v/>
      </c>
      <c r="L52" s="61"/>
    </row>
    <row r="53" spans="1:12" ht="15" customHeight="1" x14ac:dyDescent="0.25">
      <c r="A53" s="173" t="str">
        <f>IF(Project_List!B53="","",Project_List!B53)</f>
        <v/>
      </c>
      <c r="B53" s="173" t="str">
        <f>IF(Project_List!B53="","",Project_List!C53)</f>
        <v/>
      </c>
      <c r="C53" s="174" t="str">
        <f>IF(Project_List!B53="","",Project_List!M53)</f>
        <v/>
      </c>
      <c r="D53" s="174" t="str">
        <f>IF(Project_List!B53="","",Project_List!N53)</f>
        <v/>
      </c>
      <c r="E53" s="69" t="str">
        <f t="shared" si="5"/>
        <v/>
      </c>
      <c r="F53" s="69" t="str">
        <f>IF(A53="","",IFERROR(SUMIFS(Time_Tracking!$J$3:$J$202,Time_Tracking!$E$3:$E$202,A53),0))</f>
        <v/>
      </c>
      <c r="G53" s="69" t="str">
        <f>IF(A53="","",IFERROR(SUMIFS(Logistics!$K$3:$K$102,Logistics!$B$3:$B$102,A53),0))</f>
        <v/>
      </c>
      <c r="H53" s="69" t="str">
        <f t="shared" si="6"/>
        <v/>
      </c>
      <c r="I53" s="69" t="str">
        <f t="shared" si="7"/>
        <v/>
      </c>
      <c r="J53" s="170" t="str">
        <f t="shared" si="8"/>
        <v/>
      </c>
      <c r="K53" s="175" t="str">
        <f t="shared" si="9"/>
        <v/>
      </c>
      <c r="L53" s="61"/>
    </row>
    <row r="54" spans="1:12" ht="15" customHeight="1" x14ac:dyDescent="0.25">
      <c r="A54" s="173" t="str">
        <f>IF(Project_List!B54="","",Project_List!B54)</f>
        <v/>
      </c>
      <c r="B54" s="173" t="str">
        <f>IF(Project_List!B54="","",Project_List!C54)</f>
        <v/>
      </c>
      <c r="C54" s="174" t="str">
        <f>IF(Project_List!B54="","",Project_List!M54)</f>
        <v/>
      </c>
      <c r="D54" s="174" t="str">
        <f>IF(Project_List!B54="","",Project_List!N54)</f>
        <v/>
      </c>
      <c r="E54" s="69" t="str">
        <f t="shared" si="5"/>
        <v/>
      </c>
      <c r="F54" s="69" t="str">
        <f>IF(A54="","",IFERROR(SUMIFS(Time_Tracking!$J$3:$J$202,Time_Tracking!$E$3:$E$202,A54),0))</f>
        <v/>
      </c>
      <c r="G54" s="69" t="str">
        <f>IF(A54="","",IFERROR(SUMIFS(Logistics!$K$3:$K$102,Logistics!$B$3:$B$102,A54),0))</f>
        <v/>
      </c>
      <c r="H54" s="69" t="str">
        <f t="shared" si="6"/>
        <v/>
      </c>
      <c r="I54" s="69" t="str">
        <f t="shared" si="7"/>
        <v/>
      </c>
      <c r="J54" s="170" t="str">
        <f t="shared" si="8"/>
        <v/>
      </c>
      <c r="K54" s="175" t="str">
        <f t="shared" si="9"/>
        <v/>
      </c>
      <c r="L54" s="61"/>
    </row>
    <row r="55" spans="1:12" ht="15" customHeight="1" x14ac:dyDescent="0.25">
      <c r="A55" s="173" t="str">
        <f>IF(Project_List!B55="","",Project_List!B55)</f>
        <v/>
      </c>
      <c r="B55" s="173" t="str">
        <f>IF(Project_List!B55="","",Project_List!C55)</f>
        <v/>
      </c>
      <c r="C55" s="174" t="str">
        <f>IF(Project_List!B55="","",Project_List!M55)</f>
        <v/>
      </c>
      <c r="D55" s="174" t="str">
        <f>IF(Project_List!B55="","",Project_List!N55)</f>
        <v/>
      </c>
      <c r="E55" s="69" t="str">
        <f t="shared" si="5"/>
        <v/>
      </c>
      <c r="F55" s="69" t="str">
        <f>IF(A55="","",IFERROR(SUMIFS(Time_Tracking!$J$3:$J$202,Time_Tracking!$E$3:$E$202,A55),0))</f>
        <v/>
      </c>
      <c r="G55" s="69" t="str">
        <f>IF(A55="","",IFERROR(SUMIFS(Logistics!$K$3:$K$102,Logistics!$B$3:$B$102,A55),0))</f>
        <v/>
      </c>
      <c r="H55" s="69" t="str">
        <f t="shared" si="6"/>
        <v/>
      </c>
      <c r="I55" s="69" t="str">
        <f t="shared" si="7"/>
        <v/>
      </c>
      <c r="J55" s="170" t="str">
        <f t="shared" si="8"/>
        <v/>
      </c>
      <c r="K55" s="175" t="str">
        <f t="shared" si="9"/>
        <v/>
      </c>
      <c r="L55" s="61"/>
    </row>
    <row r="56" spans="1:12" ht="15" customHeight="1" x14ac:dyDescent="0.25">
      <c r="A56" s="173" t="str">
        <f>IF(Project_List!B56="","",Project_List!B56)</f>
        <v/>
      </c>
      <c r="B56" s="173" t="str">
        <f>IF(Project_List!B56="","",Project_List!C56)</f>
        <v/>
      </c>
      <c r="C56" s="174" t="str">
        <f>IF(Project_List!B56="","",Project_List!M56)</f>
        <v/>
      </c>
      <c r="D56" s="174" t="str">
        <f>IF(Project_List!B56="","",Project_List!N56)</f>
        <v/>
      </c>
      <c r="E56" s="69" t="str">
        <f t="shared" si="5"/>
        <v/>
      </c>
      <c r="F56" s="69" t="str">
        <f>IF(A56="","",IFERROR(SUMIFS(Time_Tracking!$J$3:$J$202,Time_Tracking!$E$3:$E$202,A56),0))</f>
        <v/>
      </c>
      <c r="G56" s="69" t="str">
        <f>IF(A56="","",IFERROR(SUMIFS(Logistics!$K$3:$K$102,Logistics!$B$3:$B$102,A56),0))</f>
        <v/>
      </c>
      <c r="H56" s="69" t="str">
        <f t="shared" si="6"/>
        <v/>
      </c>
      <c r="I56" s="69" t="str">
        <f t="shared" si="7"/>
        <v/>
      </c>
      <c r="J56" s="170" t="str">
        <f t="shared" si="8"/>
        <v/>
      </c>
      <c r="K56" s="175" t="str">
        <f t="shared" si="9"/>
        <v/>
      </c>
      <c r="L56" s="61"/>
    </row>
    <row r="57" spans="1:12" ht="15" customHeight="1" x14ac:dyDescent="0.25">
      <c r="A57" s="173" t="str">
        <f>IF(Project_List!B57="","",Project_List!B57)</f>
        <v/>
      </c>
      <c r="B57" s="173" t="str">
        <f>IF(Project_List!B57="","",Project_List!C57)</f>
        <v/>
      </c>
      <c r="C57" s="174" t="str">
        <f>IF(Project_List!B57="","",Project_List!M57)</f>
        <v/>
      </c>
      <c r="D57" s="174" t="str">
        <f>IF(Project_List!B57="","",Project_List!N57)</f>
        <v/>
      </c>
      <c r="E57" s="69" t="str">
        <f t="shared" si="5"/>
        <v/>
      </c>
      <c r="F57" s="69" t="str">
        <f>IF(A57="","",IFERROR(SUMIFS(Time_Tracking!$J$3:$J$202,Time_Tracking!$E$3:$E$202,A57),0))</f>
        <v/>
      </c>
      <c r="G57" s="69" t="str">
        <f>IF(A57="","",IFERROR(SUMIFS(Logistics!$K$3:$K$102,Logistics!$B$3:$B$102,A57),0))</f>
        <v/>
      </c>
      <c r="H57" s="69" t="str">
        <f t="shared" si="6"/>
        <v/>
      </c>
      <c r="I57" s="69" t="str">
        <f t="shared" si="7"/>
        <v/>
      </c>
      <c r="J57" s="170" t="str">
        <f t="shared" si="8"/>
        <v/>
      </c>
      <c r="K57" s="175" t="str">
        <f t="shared" si="9"/>
        <v/>
      </c>
      <c r="L57" s="61"/>
    </row>
    <row r="58" spans="1:12" ht="15" customHeight="1" x14ac:dyDescent="0.25">
      <c r="A58" s="173" t="str">
        <f>IF(Project_List!B58="","",Project_List!B58)</f>
        <v/>
      </c>
      <c r="B58" s="173" t="str">
        <f>IF(Project_List!B58="","",Project_List!C58)</f>
        <v/>
      </c>
      <c r="C58" s="174" t="str">
        <f>IF(Project_List!B58="","",Project_List!M58)</f>
        <v/>
      </c>
      <c r="D58" s="174" t="str">
        <f>IF(Project_List!B58="","",Project_List!N58)</f>
        <v/>
      </c>
      <c r="E58" s="69" t="str">
        <f t="shared" si="5"/>
        <v/>
      </c>
      <c r="F58" s="69" t="str">
        <f>IF(A58="","",IFERROR(SUMIFS(Time_Tracking!$J$3:$J$202,Time_Tracking!$E$3:$E$202,A58),0))</f>
        <v/>
      </c>
      <c r="G58" s="69" t="str">
        <f>IF(A58="","",IFERROR(SUMIFS(Logistics!$K$3:$K$102,Logistics!$B$3:$B$102,A58),0))</f>
        <v/>
      </c>
      <c r="H58" s="69" t="str">
        <f t="shared" si="6"/>
        <v/>
      </c>
      <c r="I58" s="69" t="str">
        <f t="shared" si="7"/>
        <v/>
      </c>
      <c r="J58" s="170" t="str">
        <f t="shared" si="8"/>
        <v/>
      </c>
      <c r="K58" s="175" t="str">
        <f t="shared" si="9"/>
        <v/>
      </c>
      <c r="L58" s="61"/>
    </row>
    <row r="59" spans="1:12" ht="15" customHeight="1" x14ac:dyDescent="0.25">
      <c r="A59" s="173" t="str">
        <f>IF(Project_List!B59="","",Project_List!B59)</f>
        <v/>
      </c>
      <c r="B59" s="173" t="str">
        <f>IF(Project_List!B59="","",Project_List!C59)</f>
        <v/>
      </c>
      <c r="C59" s="174" t="str">
        <f>IF(Project_List!B59="","",Project_List!M59)</f>
        <v/>
      </c>
      <c r="D59" s="174" t="str">
        <f>IF(Project_List!B59="","",Project_List!N59)</f>
        <v/>
      </c>
      <c r="E59" s="69" t="str">
        <f t="shared" si="5"/>
        <v/>
      </c>
      <c r="F59" s="69" t="str">
        <f>IF(A59="","",IFERROR(SUMIFS(Time_Tracking!$J$3:$J$202,Time_Tracking!$E$3:$E$202,A59),0))</f>
        <v/>
      </c>
      <c r="G59" s="69" t="str">
        <f>IF(A59="","",IFERROR(SUMIFS(Logistics!$K$3:$K$102,Logistics!$B$3:$B$102,A59),0))</f>
        <v/>
      </c>
      <c r="H59" s="69" t="str">
        <f t="shared" si="6"/>
        <v/>
      </c>
      <c r="I59" s="69" t="str">
        <f t="shared" si="7"/>
        <v/>
      </c>
      <c r="J59" s="170" t="str">
        <f t="shared" si="8"/>
        <v/>
      </c>
      <c r="K59" s="175" t="str">
        <f t="shared" si="9"/>
        <v/>
      </c>
      <c r="L59" s="61"/>
    </row>
    <row r="60" spans="1:12" ht="15" customHeight="1" x14ac:dyDescent="0.25">
      <c r="A60" s="173" t="str">
        <f>IF(Project_List!B60="","",Project_List!B60)</f>
        <v/>
      </c>
      <c r="B60" s="173" t="str">
        <f>IF(Project_List!B60="","",Project_List!C60)</f>
        <v/>
      </c>
      <c r="C60" s="174" t="str">
        <f>IF(Project_List!B60="","",Project_List!M60)</f>
        <v/>
      </c>
      <c r="D60" s="174" t="str">
        <f>IF(Project_List!B60="","",Project_List!N60)</f>
        <v/>
      </c>
      <c r="E60" s="69" t="str">
        <f t="shared" si="5"/>
        <v/>
      </c>
      <c r="F60" s="69" t="str">
        <f>IF(A60="","",IFERROR(SUMIFS(Time_Tracking!$J$3:$J$202,Time_Tracking!$E$3:$E$202,A60),0))</f>
        <v/>
      </c>
      <c r="G60" s="69" t="str">
        <f>IF(A60="","",IFERROR(SUMIFS(Logistics!$K$3:$K$102,Logistics!$B$3:$B$102,A60),0))</f>
        <v/>
      </c>
      <c r="H60" s="69" t="str">
        <f t="shared" si="6"/>
        <v/>
      </c>
      <c r="I60" s="69" t="str">
        <f t="shared" si="7"/>
        <v/>
      </c>
      <c r="J60" s="170" t="str">
        <f t="shared" si="8"/>
        <v/>
      </c>
      <c r="K60" s="175" t="str">
        <f t="shared" si="9"/>
        <v/>
      </c>
      <c r="L60" s="61"/>
    </row>
    <row r="61" spans="1:12" ht="15" customHeight="1" x14ac:dyDescent="0.25">
      <c r="A61" s="173" t="str">
        <f>IF(Project_List!B61="","",Project_List!B61)</f>
        <v/>
      </c>
      <c r="B61" s="173" t="str">
        <f>IF(Project_List!B61="","",Project_List!C61)</f>
        <v/>
      </c>
      <c r="C61" s="174" t="str">
        <f>IF(Project_List!B61="","",Project_List!M61)</f>
        <v/>
      </c>
      <c r="D61" s="174" t="str">
        <f>IF(Project_List!B61="","",Project_List!N61)</f>
        <v/>
      </c>
      <c r="E61" s="69" t="str">
        <f t="shared" si="5"/>
        <v/>
      </c>
      <c r="F61" s="69" t="str">
        <f>IF(A61="","",IFERROR(SUMIFS(Time_Tracking!$J$3:$J$202,Time_Tracking!$E$3:$E$202,A61),0))</f>
        <v/>
      </c>
      <c r="G61" s="69" t="str">
        <f>IF(A61="","",IFERROR(SUMIFS(Logistics!$K$3:$K$102,Logistics!$B$3:$B$102,A61),0))</f>
        <v/>
      </c>
      <c r="H61" s="69" t="str">
        <f t="shared" si="6"/>
        <v/>
      </c>
      <c r="I61" s="69" t="str">
        <f t="shared" si="7"/>
        <v/>
      </c>
      <c r="J61" s="170" t="str">
        <f t="shared" si="8"/>
        <v/>
      </c>
      <c r="K61" s="175" t="str">
        <f t="shared" si="9"/>
        <v/>
      </c>
      <c r="L61" s="61"/>
    </row>
    <row r="62" spans="1:12" ht="15" customHeight="1" x14ac:dyDescent="0.25">
      <c r="A62" s="173" t="str">
        <f>IF(Project_List!B62="","",Project_List!B62)</f>
        <v/>
      </c>
      <c r="B62" s="173" t="str">
        <f>IF(Project_List!B62="","",Project_List!C62)</f>
        <v/>
      </c>
      <c r="C62" s="174" t="str">
        <f>IF(Project_List!B62="","",Project_List!M62)</f>
        <v/>
      </c>
      <c r="D62" s="174" t="str">
        <f>IF(Project_List!B62="","",Project_List!N62)</f>
        <v/>
      </c>
      <c r="E62" s="69" t="str">
        <f t="shared" si="5"/>
        <v/>
      </c>
      <c r="F62" s="69" t="str">
        <f>IF(A62="","",IFERROR(SUMIFS(Time_Tracking!$J$3:$J$202,Time_Tracking!$E$3:$E$202,A62),0))</f>
        <v/>
      </c>
      <c r="G62" s="69" t="str">
        <f>IF(A62="","",IFERROR(SUMIFS(Logistics!$K$3:$K$102,Logistics!$B$3:$B$102,A62),0))</f>
        <v/>
      </c>
      <c r="H62" s="69" t="str">
        <f t="shared" si="6"/>
        <v/>
      </c>
      <c r="I62" s="69" t="str">
        <f t="shared" si="7"/>
        <v/>
      </c>
      <c r="J62" s="170" t="str">
        <f t="shared" si="8"/>
        <v/>
      </c>
      <c r="K62" s="175" t="str">
        <f t="shared" si="9"/>
        <v/>
      </c>
      <c r="L62" s="61"/>
    </row>
    <row r="63" spans="1:12" ht="15" customHeight="1" x14ac:dyDescent="0.25">
      <c r="A63" s="173" t="str">
        <f>IF(Project_List!B63="","",Project_List!B63)</f>
        <v/>
      </c>
      <c r="B63" s="173" t="str">
        <f>IF(Project_List!B63="","",Project_List!C63)</f>
        <v/>
      </c>
      <c r="C63" s="174" t="str">
        <f>IF(Project_List!B63="","",Project_List!M63)</f>
        <v/>
      </c>
      <c r="D63" s="174" t="str">
        <f>IF(Project_List!B63="","",Project_List!N63)</f>
        <v/>
      </c>
      <c r="E63" s="69" t="str">
        <f t="shared" si="5"/>
        <v/>
      </c>
      <c r="F63" s="69" t="str">
        <f>IF(A63="","",IFERROR(SUMIFS(Time_Tracking!$J$3:$J$202,Time_Tracking!$E$3:$E$202,A63),0))</f>
        <v/>
      </c>
      <c r="G63" s="69" t="str">
        <f>IF(A63="","",IFERROR(SUMIFS(Logistics!$K$3:$K$102,Logistics!$B$3:$B$102,A63),0))</f>
        <v/>
      </c>
      <c r="H63" s="69" t="str">
        <f t="shared" si="6"/>
        <v/>
      </c>
      <c r="I63" s="69" t="str">
        <f t="shared" si="7"/>
        <v/>
      </c>
      <c r="J63" s="170" t="str">
        <f t="shared" si="8"/>
        <v/>
      </c>
      <c r="K63" s="175" t="str">
        <f t="shared" si="9"/>
        <v/>
      </c>
      <c r="L63" s="61"/>
    </row>
    <row r="64" spans="1:12" ht="15" customHeight="1" x14ac:dyDescent="0.25">
      <c r="A64" s="173" t="str">
        <f>IF(Project_List!B64="","",Project_List!B64)</f>
        <v/>
      </c>
      <c r="B64" s="173" t="str">
        <f>IF(Project_List!B64="","",Project_List!C64)</f>
        <v/>
      </c>
      <c r="C64" s="174" t="str">
        <f>IF(Project_List!B64="","",Project_List!M64)</f>
        <v/>
      </c>
      <c r="D64" s="174" t="str">
        <f>IF(Project_List!B64="","",Project_List!N64)</f>
        <v/>
      </c>
      <c r="E64" s="69" t="str">
        <f t="shared" si="5"/>
        <v/>
      </c>
      <c r="F64" s="69" t="str">
        <f>IF(A64="","",IFERROR(SUMIFS(Time_Tracking!$J$3:$J$202,Time_Tracking!$E$3:$E$202,A64),0))</f>
        <v/>
      </c>
      <c r="G64" s="69" t="str">
        <f>IF(A64="","",IFERROR(SUMIFS(Logistics!$K$3:$K$102,Logistics!$B$3:$B$102,A64),0))</f>
        <v/>
      </c>
      <c r="H64" s="69" t="str">
        <f t="shared" si="6"/>
        <v/>
      </c>
      <c r="I64" s="69" t="str">
        <f t="shared" si="7"/>
        <v/>
      </c>
      <c r="J64" s="170" t="str">
        <f t="shared" si="8"/>
        <v/>
      </c>
      <c r="K64" s="175" t="str">
        <f t="shared" si="9"/>
        <v/>
      </c>
      <c r="L64" s="61"/>
    </row>
    <row r="65" spans="1:12" ht="15" customHeight="1" x14ac:dyDescent="0.25">
      <c r="A65" s="173" t="str">
        <f>IF(Project_List!B65="","",Project_List!B65)</f>
        <v/>
      </c>
      <c r="B65" s="173" t="str">
        <f>IF(Project_List!B65="","",Project_List!C65)</f>
        <v/>
      </c>
      <c r="C65" s="174" t="str">
        <f>IF(Project_List!B65="","",Project_List!M65)</f>
        <v/>
      </c>
      <c r="D65" s="174" t="str">
        <f>IF(Project_List!B65="","",Project_List!N65)</f>
        <v/>
      </c>
      <c r="E65" s="69" t="str">
        <f t="shared" si="5"/>
        <v/>
      </c>
      <c r="F65" s="69" t="str">
        <f>IF(A65="","",IFERROR(SUMIFS(Time_Tracking!$J$3:$J$202,Time_Tracking!$E$3:$E$202,A65),0))</f>
        <v/>
      </c>
      <c r="G65" s="69" t="str">
        <f>IF(A65="","",IFERROR(SUMIFS(Logistics!$K$3:$K$102,Logistics!$B$3:$B$102,A65),0))</f>
        <v/>
      </c>
      <c r="H65" s="69" t="str">
        <f t="shared" si="6"/>
        <v/>
      </c>
      <c r="I65" s="69" t="str">
        <f t="shared" si="7"/>
        <v/>
      </c>
      <c r="J65" s="170" t="str">
        <f t="shared" si="8"/>
        <v/>
      </c>
      <c r="K65" s="175" t="str">
        <f t="shared" si="9"/>
        <v/>
      </c>
      <c r="L65" s="61"/>
    </row>
    <row r="66" spans="1:12" ht="15" customHeight="1" x14ac:dyDescent="0.25">
      <c r="A66" s="173" t="str">
        <f>IF(Project_List!B66="","",Project_List!B66)</f>
        <v/>
      </c>
      <c r="B66" s="173" t="str">
        <f>IF(Project_List!B66="","",Project_List!C66)</f>
        <v/>
      </c>
      <c r="C66" s="174" t="str">
        <f>IF(Project_List!B66="","",Project_List!M66)</f>
        <v/>
      </c>
      <c r="D66" s="174" t="str">
        <f>IF(Project_List!B66="","",Project_List!N66)</f>
        <v/>
      </c>
      <c r="E66" s="69" t="str">
        <f t="shared" si="5"/>
        <v/>
      </c>
      <c r="F66" s="69" t="str">
        <f>IF(A66="","",IFERROR(SUMIFS(Time_Tracking!$J$3:$J$202,Time_Tracking!$E$3:$E$202,A66),0))</f>
        <v/>
      </c>
      <c r="G66" s="69" t="str">
        <f>IF(A66="","",IFERROR(SUMIFS(Logistics!$K$3:$K$102,Logistics!$B$3:$B$102,A66),0))</f>
        <v/>
      </c>
      <c r="H66" s="69" t="str">
        <f t="shared" si="6"/>
        <v/>
      </c>
      <c r="I66" s="69" t="str">
        <f t="shared" si="7"/>
        <v/>
      </c>
      <c r="J66" s="170" t="str">
        <f t="shared" si="8"/>
        <v/>
      </c>
      <c r="K66" s="175" t="str">
        <f t="shared" si="9"/>
        <v/>
      </c>
      <c r="L66" s="61"/>
    </row>
    <row r="67" spans="1:12" ht="15" customHeight="1" x14ac:dyDescent="0.25">
      <c r="A67" s="173" t="str">
        <f>IF(Project_List!B67="","",Project_List!B67)</f>
        <v/>
      </c>
      <c r="B67" s="173" t="str">
        <f>IF(Project_List!B67="","",Project_List!C67)</f>
        <v/>
      </c>
      <c r="C67" s="174" t="str">
        <f>IF(Project_List!B67="","",Project_List!M67)</f>
        <v/>
      </c>
      <c r="D67" s="174" t="str">
        <f>IF(Project_List!B67="","",Project_List!N67)</f>
        <v/>
      </c>
      <c r="E67" s="69" t="str">
        <f t="shared" ref="E67:E102" si="10">IF(A67="","",IFERROR(SUMIFS(Cutting_Total_Cost,Cutting_Project,A67),0))</f>
        <v/>
      </c>
      <c r="F67" s="69" t="str">
        <f>IF(A67="","",IFERROR(SUMIFS(Time_Tracking!$J$3:$J$202,Time_Tracking!$E$3:$E$202,A67),0))</f>
        <v/>
      </c>
      <c r="G67" s="69" t="str">
        <f>IF(A67="","",IFERROR(SUMIFS(Logistics!$K$3:$K$102,Logistics!$B$3:$B$102,A67),0))</f>
        <v/>
      </c>
      <c r="H67" s="69" t="str">
        <f t="shared" ref="H67:H98" si="11">IF(A67="","",E67+F67+G67)</f>
        <v/>
      </c>
      <c r="I67" s="69" t="str">
        <f t="shared" ref="I67:I98" si="12">IF(A67="","",D67-H67)</f>
        <v/>
      </c>
      <c r="J67" s="170" t="str">
        <f t="shared" ref="J67:J98" si="13">IFERROR(IF(OR(A67="",D67=0),"",I67/D67),"")</f>
        <v/>
      </c>
      <c r="K67" s="175" t="str">
        <f t="shared" ref="K67:K98" si="14">IF(A67="","",IF(J67="","—",IF(J67&gt;=0.05,"Under budget",IF(J67&gt;=-0.05,"On budget",IF(J67&gt;=-0.15,"Over","Critical over")))))</f>
        <v/>
      </c>
      <c r="L67" s="61"/>
    </row>
    <row r="68" spans="1:12" ht="15" customHeight="1" x14ac:dyDescent="0.25">
      <c r="A68" s="173" t="str">
        <f>IF(Project_List!B68="","",Project_List!B68)</f>
        <v/>
      </c>
      <c r="B68" s="173" t="str">
        <f>IF(Project_List!B68="","",Project_List!C68)</f>
        <v/>
      </c>
      <c r="C68" s="174" t="str">
        <f>IF(Project_List!B68="","",Project_List!M68)</f>
        <v/>
      </c>
      <c r="D68" s="174" t="str">
        <f>IF(Project_List!B68="","",Project_List!N68)</f>
        <v/>
      </c>
      <c r="E68" s="69" t="str">
        <f t="shared" si="10"/>
        <v/>
      </c>
      <c r="F68" s="69" t="str">
        <f>IF(A68="","",IFERROR(SUMIFS(Time_Tracking!$J$3:$J$202,Time_Tracking!$E$3:$E$202,A68),0))</f>
        <v/>
      </c>
      <c r="G68" s="69" t="str">
        <f>IF(A68="","",IFERROR(SUMIFS(Logistics!$K$3:$K$102,Logistics!$B$3:$B$102,A68),0))</f>
        <v/>
      </c>
      <c r="H68" s="69" t="str">
        <f t="shared" si="11"/>
        <v/>
      </c>
      <c r="I68" s="69" t="str">
        <f t="shared" si="12"/>
        <v/>
      </c>
      <c r="J68" s="170" t="str">
        <f t="shared" si="13"/>
        <v/>
      </c>
      <c r="K68" s="175" t="str">
        <f t="shared" si="14"/>
        <v/>
      </c>
      <c r="L68" s="61"/>
    </row>
    <row r="69" spans="1:12" ht="15" customHeight="1" x14ac:dyDescent="0.25">
      <c r="A69" s="173" t="str">
        <f>IF(Project_List!B69="","",Project_List!B69)</f>
        <v/>
      </c>
      <c r="B69" s="173" t="str">
        <f>IF(Project_List!B69="","",Project_List!C69)</f>
        <v/>
      </c>
      <c r="C69" s="174" t="str">
        <f>IF(Project_List!B69="","",Project_List!M69)</f>
        <v/>
      </c>
      <c r="D69" s="174" t="str">
        <f>IF(Project_List!B69="","",Project_List!N69)</f>
        <v/>
      </c>
      <c r="E69" s="69" t="str">
        <f t="shared" si="10"/>
        <v/>
      </c>
      <c r="F69" s="69" t="str">
        <f>IF(A69="","",IFERROR(SUMIFS(Time_Tracking!$J$3:$J$202,Time_Tracking!$E$3:$E$202,A69),0))</f>
        <v/>
      </c>
      <c r="G69" s="69" t="str">
        <f>IF(A69="","",IFERROR(SUMIFS(Logistics!$K$3:$K$102,Logistics!$B$3:$B$102,A69),0))</f>
        <v/>
      </c>
      <c r="H69" s="69" t="str">
        <f t="shared" si="11"/>
        <v/>
      </c>
      <c r="I69" s="69" t="str">
        <f t="shared" si="12"/>
        <v/>
      </c>
      <c r="J69" s="170" t="str">
        <f t="shared" si="13"/>
        <v/>
      </c>
      <c r="K69" s="175" t="str">
        <f t="shared" si="14"/>
        <v/>
      </c>
      <c r="L69" s="61"/>
    </row>
    <row r="70" spans="1:12" ht="15" customHeight="1" x14ac:dyDescent="0.25">
      <c r="A70" s="173" t="str">
        <f>IF(Project_List!B70="","",Project_List!B70)</f>
        <v/>
      </c>
      <c r="B70" s="173" t="str">
        <f>IF(Project_List!B70="","",Project_List!C70)</f>
        <v/>
      </c>
      <c r="C70" s="174" t="str">
        <f>IF(Project_List!B70="","",Project_List!M70)</f>
        <v/>
      </c>
      <c r="D70" s="174" t="str">
        <f>IF(Project_List!B70="","",Project_List!N70)</f>
        <v/>
      </c>
      <c r="E70" s="69" t="str">
        <f t="shared" si="10"/>
        <v/>
      </c>
      <c r="F70" s="69" t="str">
        <f>IF(A70="","",IFERROR(SUMIFS(Time_Tracking!$J$3:$J$202,Time_Tracking!$E$3:$E$202,A70),0))</f>
        <v/>
      </c>
      <c r="G70" s="69" t="str">
        <f>IF(A70="","",IFERROR(SUMIFS(Logistics!$K$3:$K$102,Logistics!$B$3:$B$102,A70),0))</f>
        <v/>
      </c>
      <c r="H70" s="69" t="str">
        <f t="shared" si="11"/>
        <v/>
      </c>
      <c r="I70" s="69" t="str">
        <f t="shared" si="12"/>
        <v/>
      </c>
      <c r="J70" s="170" t="str">
        <f t="shared" si="13"/>
        <v/>
      </c>
      <c r="K70" s="175" t="str">
        <f t="shared" si="14"/>
        <v/>
      </c>
      <c r="L70" s="61"/>
    </row>
    <row r="71" spans="1:12" ht="15" customHeight="1" x14ac:dyDescent="0.25">
      <c r="A71" s="173" t="str">
        <f>IF(Project_List!B71="","",Project_List!B71)</f>
        <v/>
      </c>
      <c r="B71" s="173" t="str">
        <f>IF(Project_List!B71="","",Project_List!C71)</f>
        <v/>
      </c>
      <c r="C71" s="174" t="str">
        <f>IF(Project_List!B71="","",Project_List!M71)</f>
        <v/>
      </c>
      <c r="D71" s="174" t="str">
        <f>IF(Project_List!B71="","",Project_List!N71)</f>
        <v/>
      </c>
      <c r="E71" s="69" t="str">
        <f t="shared" si="10"/>
        <v/>
      </c>
      <c r="F71" s="69" t="str">
        <f>IF(A71="","",IFERROR(SUMIFS(Time_Tracking!$J$3:$J$202,Time_Tracking!$E$3:$E$202,A71),0))</f>
        <v/>
      </c>
      <c r="G71" s="69" t="str">
        <f>IF(A71="","",IFERROR(SUMIFS(Logistics!$K$3:$K$102,Logistics!$B$3:$B$102,A71),0))</f>
        <v/>
      </c>
      <c r="H71" s="69" t="str">
        <f t="shared" si="11"/>
        <v/>
      </c>
      <c r="I71" s="69" t="str">
        <f t="shared" si="12"/>
        <v/>
      </c>
      <c r="J71" s="170" t="str">
        <f t="shared" si="13"/>
        <v/>
      </c>
      <c r="K71" s="175" t="str">
        <f t="shared" si="14"/>
        <v/>
      </c>
      <c r="L71" s="61"/>
    </row>
    <row r="72" spans="1:12" ht="15" customHeight="1" x14ac:dyDescent="0.25">
      <c r="A72" s="173" t="str">
        <f>IF(Project_List!B72="","",Project_List!B72)</f>
        <v/>
      </c>
      <c r="B72" s="173" t="str">
        <f>IF(Project_List!B72="","",Project_List!C72)</f>
        <v/>
      </c>
      <c r="C72" s="174" t="str">
        <f>IF(Project_List!B72="","",Project_List!M72)</f>
        <v/>
      </c>
      <c r="D72" s="174" t="str">
        <f>IF(Project_List!B72="","",Project_List!N72)</f>
        <v/>
      </c>
      <c r="E72" s="69" t="str">
        <f t="shared" si="10"/>
        <v/>
      </c>
      <c r="F72" s="69" t="str">
        <f>IF(A72="","",IFERROR(SUMIFS(Time_Tracking!$J$3:$J$202,Time_Tracking!$E$3:$E$202,A72),0))</f>
        <v/>
      </c>
      <c r="G72" s="69" t="str">
        <f>IF(A72="","",IFERROR(SUMIFS(Logistics!$K$3:$K$102,Logistics!$B$3:$B$102,A72),0))</f>
        <v/>
      </c>
      <c r="H72" s="69" t="str">
        <f t="shared" si="11"/>
        <v/>
      </c>
      <c r="I72" s="69" t="str">
        <f t="shared" si="12"/>
        <v/>
      </c>
      <c r="J72" s="170" t="str">
        <f t="shared" si="13"/>
        <v/>
      </c>
      <c r="K72" s="175" t="str">
        <f t="shared" si="14"/>
        <v/>
      </c>
      <c r="L72" s="61"/>
    </row>
    <row r="73" spans="1:12" ht="15" customHeight="1" x14ac:dyDescent="0.25">
      <c r="A73" s="173" t="str">
        <f>IF(Project_List!B73="","",Project_List!B73)</f>
        <v/>
      </c>
      <c r="B73" s="173" t="str">
        <f>IF(Project_List!B73="","",Project_List!C73)</f>
        <v/>
      </c>
      <c r="C73" s="174" t="str">
        <f>IF(Project_List!B73="","",Project_List!M73)</f>
        <v/>
      </c>
      <c r="D73" s="174" t="str">
        <f>IF(Project_List!B73="","",Project_List!N73)</f>
        <v/>
      </c>
      <c r="E73" s="69" t="str">
        <f t="shared" si="10"/>
        <v/>
      </c>
      <c r="F73" s="69" t="str">
        <f>IF(A73="","",IFERROR(SUMIFS(Time_Tracking!$J$3:$J$202,Time_Tracking!$E$3:$E$202,A73),0))</f>
        <v/>
      </c>
      <c r="G73" s="69" t="str">
        <f>IF(A73="","",IFERROR(SUMIFS(Logistics!$K$3:$K$102,Logistics!$B$3:$B$102,A73),0))</f>
        <v/>
      </c>
      <c r="H73" s="69" t="str">
        <f t="shared" si="11"/>
        <v/>
      </c>
      <c r="I73" s="69" t="str">
        <f t="shared" si="12"/>
        <v/>
      </c>
      <c r="J73" s="170" t="str">
        <f t="shared" si="13"/>
        <v/>
      </c>
      <c r="K73" s="175" t="str">
        <f t="shared" si="14"/>
        <v/>
      </c>
      <c r="L73" s="61"/>
    </row>
    <row r="74" spans="1:12" ht="15" customHeight="1" x14ac:dyDescent="0.25">
      <c r="A74" s="173" t="str">
        <f>IF(Project_List!B74="","",Project_List!B74)</f>
        <v/>
      </c>
      <c r="B74" s="173" t="str">
        <f>IF(Project_List!B74="","",Project_List!C74)</f>
        <v/>
      </c>
      <c r="C74" s="174" t="str">
        <f>IF(Project_List!B74="","",Project_List!M74)</f>
        <v/>
      </c>
      <c r="D74" s="174" t="str">
        <f>IF(Project_List!B74="","",Project_List!N74)</f>
        <v/>
      </c>
      <c r="E74" s="69" t="str">
        <f t="shared" si="10"/>
        <v/>
      </c>
      <c r="F74" s="69" t="str">
        <f>IF(A74="","",IFERROR(SUMIFS(Time_Tracking!$J$3:$J$202,Time_Tracking!$E$3:$E$202,A74),0))</f>
        <v/>
      </c>
      <c r="G74" s="69" t="str">
        <f>IF(A74="","",IFERROR(SUMIFS(Logistics!$K$3:$K$102,Logistics!$B$3:$B$102,A74),0))</f>
        <v/>
      </c>
      <c r="H74" s="69" t="str">
        <f t="shared" si="11"/>
        <v/>
      </c>
      <c r="I74" s="69" t="str">
        <f t="shared" si="12"/>
        <v/>
      </c>
      <c r="J74" s="170" t="str">
        <f t="shared" si="13"/>
        <v/>
      </c>
      <c r="K74" s="175" t="str">
        <f t="shared" si="14"/>
        <v/>
      </c>
      <c r="L74" s="61"/>
    </row>
    <row r="75" spans="1:12" ht="15" customHeight="1" x14ac:dyDescent="0.25">
      <c r="A75" s="173" t="str">
        <f>IF(Project_List!B75="","",Project_List!B75)</f>
        <v/>
      </c>
      <c r="B75" s="173" t="str">
        <f>IF(Project_List!B75="","",Project_List!C75)</f>
        <v/>
      </c>
      <c r="C75" s="174" t="str">
        <f>IF(Project_List!B75="","",Project_List!M75)</f>
        <v/>
      </c>
      <c r="D75" s="174" t="str">
        <f>IF(Project_List!B75="","",Project_List!N75)</f>
        <v/>
      </c>
      <c r="E75" s="69" t="str">
        <f t="shared" si="10"/>
        <v/>
      </c>
      <c r="F75" s="69" t="str">
        <f>IF(A75="","",IFERROR(SUMIFS(Time_Tracking!$J$3:$J$202,Time_Tracking!$E$3:$E$202,A75),0))</f>
        <v/>
      </c>
      <c r="G75" s="69" t="str">
        <f>IF(A75="","",IFERROR(SUMIFS(Logistics!$K$3:$K$102,Logistics!$B$3:$B$102,A75),0))</f>
        <v/>
      </c>
      <c r="H75" s="69" t="str">
        <f t="shared" si="11"/>
        <v/>
      </c>
      <c r="I75" s="69" t="str">
        <f t="shared" si="12"/>
        <v/>
      </c>
      <c r="J75" s="170" t="str">
        <f t="shared" si="13"/>
        <v/>
      </c>
      <c r="K75" s="175" t="str">
        <f t="shared" si="14"/>
        <v/>
      </c>
      <c r="L75" s="61"/>
    </row>
    <row r="76" spans="1:12" ht="15" customHeight="1" x14ac:dyDescent="0.25">
      <c r="A76" s="173" t="str">
        <f>IF(Project_List!B76="","",Project_List!B76)</f>
        <v/>
      </c>
      <c r="B76" s="173" t="str">
        <f>IF(Project_List!B76="","",Project_List!C76)</f>
        <v/>
      </c>
      <c r="C76" s="174" t="str">
        <f>IF(Project_List!B76="","",Project_List!M76)</f>
        <v/>
      </c>
      <c r="D76" s="174" t="str">
        <f>IF(Project_List!B76="","",Project_List!N76)</f>
        <v/>
      </c>
      <c r="E76" s="69" t="str">
        <f t="shared" si="10"/>
        <v/>
      </c>
      <c r="F76" s="69" t="str">
        <f>IF(A76="","",IFERROR(SUMIFS(Time_Tracking!$J$3:$J$202,Time_Tracking!$E$3:$E$202,A76),0))</f>
        <v/>
      </c>
      <c r="G76" s="69" t="str">
        <f>IF(A76="","",IFERROR(SUMIFS(Logistics!$K$3:$K$102,Logistics!$B$3:$B$102,A76),0))</f>
        <v/>
      </c>
      <c r="H76" s="69" t="str">
        <f t="shared" si="11"/>
        <v/>
      </c>
      <c r="I76" s="69" t="str">
        <f t="shared" si="12"/>
        <v/>
      </c>
      <c r="J76" s="170" t="str">
        <f t="shared" si="13"/>
        <v/>
      </c>
      <c r="K76" s="175" t="str">
        <f t="shared" si="14"/>
        <v/>
      </c>
      <c r="L76" s="61"/>
    </row>
    <row r="77" spans="1:12" ht="15" customHeight="1" x14ac:dyDescent="0.25">
      <c r="A77" s="173" t="str">
        <f>IF(Project_List!B77="","",Project_List!B77)</f>
        <v/>
      </c>
      <c r="B77" s="173" t="str">
        <f>IF(Project_List!B77="","",Project_List!C77)</f>
        <v/>
      </c>
      <c r="C77" s="174" t="str">
        <f>IF(Project_List!B77="","",Project_List!M77)</f>
        <v/>
      </c>
      <c r="D77" s="174" t="str">
        <f>IF(Project_List!B77="","",Project_List!N77)</f>
        <v/>
      </c>
      <c r="E77" s="69" t="str">
        <f t="shared" si="10"/>
        <v/>
      </c>
      <c r="F77" s="69" t="str">
        <f>IF(A77="","",IFERROR(SUMIFS(Time_Tracking!$J$3:$J$202,Time_Tracking!$E$3:$E$202,A77),0))</f>
        <v/>
      </c>
      <c r="G77" s="69" t="str">
        <f>IF(A77="","",IFERROR(SUMIFS(Logistics!$K$3:$K$102,Logistics!$B$3:$B$102,A77),0))</f>
        <v/>
      </c>
      <c r="H77" s="69" t="str">
        <f t="shared" si="11"/>
        <v/>
      </c>
      <c r="I77" s="69" t="str">
        <f t="shared" si="12"/>
        <v/>
      </c>
      <c r="J77" s="170" t="str">
        <f t="shared" si="13"/>
        <v/>
      </c>
      <c r="K77" s="175" t="str">
        <f t="shared" si="14"/>
        <v/>
      </c>
      <c r="L77" s="61"/>
    </row>
    <row r="78" spans="1:12" ht="15" customHeight="1" x14ac:dyDescent="0.25">
      <c r="A78" s="173" t="str">
        <f>IF(Project_List!B78="","",Project_List!B78)</f>
        <v/>
      </c>
      <c r="B78" s="173" t="str">
        <f>IF(Project_List!B78="","",Project_List!C78)</f>
        <v/>
      </c>
      <c r="C78" s="174" t="str">
        <f>IF(Project_List!B78="","",Project_List!M78)</f>
        <v/>
      </c>
      <c r="D78" s="174" t="str">
        <f>IF(Project_List!B78="","",Project_List!N78)</f>
        <v/>
      </c>
      <c r="E78" s="69" t="str">
        <f t="shared" si="10"/>
        <v/>
      </c>
      <c r="F78" s="69" t="str">
        <f>IF(A78="","",IFERROR(SUMIFS(Time_Tracking!$J$3:$J$202,Time_Tracking!$E$3:$E$202,A78),0))</f>
        <v/>
      </c>
      <c r="G78" s="69" t="str">
        <f>IF(A78="","",IFERROR(SUMIFS(Logistics!$K$3:$K$102,Logistics!$B$3:$B$102,A78),0))</f>
        <v/>
      </c>
      <c r="H78" s="69" t="str">
        <f t="shared" si="11"/>
        <v/>
      </c>
      <c r="I78" s="69" t="str">
        <f t="shared" si="12"/>
        <v/>
      </c>
      <c r="J78" s="170" t="str">
        <f t="shared" si="13"/>
        <v/>
      </c>
      <c r="K78" s="175" t="str">
        <f t="shared" si="14"/>
        <v/>
      </c>
      <c r="L78" s="61"/>
    </row>
    <row r="79" spans="1:12" ht="15" customHeight="1" x14ac:dyDescent="0.25">
      <c r="A79" s="173" t="str">
        <f>IF(Project_List!B79="","",Project_List!B79)</f>
        <v/>
      </c>
      <c r="B79" s="173" t="str">
        <f>IF(Project_List!B79="","",Project_List!C79)</f>
        <v/>
      </c>
      <c r="C79" s="174" t="str">
        <f>IF(Project_List!B79="","",Project_List!M79)</f>
        <v/>
      </c>
      <c r="D79" s="174" t="str">
        <f>IF(Project_List!B79="","",Project_List!N79)</f>
        <v/>
      </c>
      <c r="E79" s="69" t="str">
        <f t="shared" si="10"/>
        <v/>
      </c>
      <c r="F79" s="69" t="str">
        <f>IF(A79="","",IFERROR(SUMIFS(Time_Tracking!$J$3:$J$202,Time_Tracking!$E$3:$E$202,A79),0))</f>
        <v/>
      </c>
      <c r="G79" s="69" t="str">
        <f>IF(A79="","",IFERROR(SUMIFS(Logistics!$K$3:$K$102,Logistics!$B$3:$B$102,A79),0))</f>
        <v/>
      </c>
      <c r="H79" s="69" t="str">
        <f t="shared" si="11"/>
        <v/>
      </c>
      <c r="I79" s="69" t="str">
        <f t="shared" si="12"/>
        <v/>
      </c>
      <c r="J79" s="170" t="str">
        <f t="shared" si="13"/>
        <v/>
      </c>
      <c r="K79" s="175" t="str">
        <f t="shared" si="14"/>
        <v/>
      </c>
      <c r="L79" s="61"/>
    </row>
    <row r="80" spans="1:12" ht="15" customHeight="1" x14ac:dyDescent="0.25">
      <c r="A80" s="173" t="str">
        <f>IF(Project_List!B80="","",Project_List!B80)</f>
        <v/>
      </c>
      <c r="B80" s="173" t="str">
        <f>IF(Project_List!B80="","",Project_List!C80)</f>
        <v/>
      </c>
      <c r="C80" s="174" t="str">
        <f>IF(Project_List!B80="","",Project_List!M80)</f>
        <v/>
      </c>
      <c r="D80" s="174" t="str">
        <f>IF(Project_List!B80="","",Project_List!N80)</f>
        <v/>
      </c>
      <c r="E80" s="69" t="str">
        <f t="shared" si="10"/>
        <v/>
      </c>
      <c r="F80" s="69" t="str">
        <f>IF(A80="","",IFERROR(SUMIFS(Time_Tracking!$J$3:$J$202,Time_Tracking!$E$3:$E$202,A80),0))</f>
        <v/>
      </c>
      <c r="G80" s="69" t="str">
        <f>IF(A80="","",IFERROR(SUMIFS(Logistics!$K$3:$K$102,Logistics!$B$3:$B$102,A80),0))</f>
        <v/>
      </c>
      <c r="H80" s="69" t="str">
        <f t="shared" si="11"/>
        <v/>
      </c>
      <c r="I80" s="69" t="str">
        <f t="shared" si="12"/>
        <v/>
      </c>
      <c r="J80" s="170" t="str">
        <f t="shared" si="13"/>
        <v/>
      </c>
      <c r="K80" s="175" t="str">
        <f t="shared" si="14"/>
        <v/>
      </c>
      <c r="L80" s="61"/>
    </row>
    <row r="81" spans="1:12" ht="15" customHeight="1" x14ac:dyDescent="0.25">
      <c r="A81" s="173" t="str">
        <f>IF(Project_List!B81="","",Project_List!B81)</f>
        <v/>
      </c>
      <c r="B81" s="173" t="str">
        <f>IF(Project_List!B81="","",Project_List!C81)</f>
        <v/>
      </c>
      <c r="C81" s="174" t="str">
        <f>IF(Project_List!B81="","",Project_List!M81)</f>
        <v/>
      </c>
      <c r="D81" s="174" t="str">
        <f>IF(Project_List!B81="","",Project_List!N81)</f>
        <v/>
      </c>
      <c r="E81" s="69" t="str">
        <f t="shared" si="10"/>
        <v/>
      </c>
      <c r="F81" s="69" t="str">
        <f>IF(A81="","",IFERROR(SUMIFS(Time_Tracking!$J$3:$J$202,Time_Tracking!$E$3:$E$202,A81),0))</f>
        <v/>
      </c>
      <c r="G81" s="69" t="str">
        <f>IF(A81="","",IFERROR(SUMIFS(Logistics!$K$3:$K$102,Logistics!$B$3:$B$102,A81),0))</f>
        <v/>
      </c>
      <c r="H81" s="69" t="str">
        <f t="shared" si="11"/>
        <v/>
      </c>
      <c r="I81" s="69" t="str">
        <f t="shared" si="12"/>
        <v/>
      </c>
      <c r="J81" s="170" t="str">
        <f t="shared" si="13"/>
        <v/>
      </c>
      <c r="K81" s="175" t="str">
        <f t="shared" si="14"/>
        <v/>
      </c>
      <c r="L81" s="61"/>
    </row>
    <row r="82" spans="1:12" ht="15" customHeight="1" x14ac:dyDescent="0.25">
      <c r="A82" s="173" t="str">
        <f>IF(Project_List!B82="","",Project_List!B82)</f>
        <v/>
      </c>
      <c r="B82" s="173" t="str">
        <f>IF(Project_List!B82="","",Project_List!C82)</f>
        <v/>
      </c>
      <c r="C82" s="174" t="str">
        <f>IF(Project_List!B82="","",Project_List!M82)</f>
        <v/>
      </c>
      <c r="D82" s="174" t="str">
        <f>IF(Project_List!B82="","",Project_List!N82)</f>
        <v/>
      </c>
      <c r="E82" s="69" t="str">
        <f t="shared" si="10"/>
        <v/>
      </c>
      <c r="F82" s="69" t="str">
        <f>IF(A82="","",IFERROR(SUMIFS(Time_Tracking!$J$3:$J$202,Time_Tracking!$E$3:$E$202,A82),0))</f>
        <v/>
      </c>
      <c r="G82" s="69" t="str">
        <f>IF(A82="","",IFERROR(SUMIFS(Logistics!$K$3:$K$102,Logistics!$B$3:$B$102,A82),0))</f>
        <v/>
      </c>
      <c r="H82" s="69" t="str">
        <f t="shared" si="11"/>
        <v/>
      </c>
      <c r="I82" s="69" t="str">
        <f t="shared" si="12"/>
        <v/>
      </c>
      <c r="J82" s="170" t="str">
        <f t="shared" si="13"/>
        <v/>
      </c>
      <c r="K82" s="175" t="str">
        <f t="shared" si="14"/>
        <v/>
      </c>
      <c r="L82" s="61"/>
    </row>
    <row r="83" spans="1:12" ht="15" customHeight="1" x14ac:dyDescent="0.25">
      <c r="A83" s="173" t="str">
        <f>IF(Project_List!B83="","",Project_List!B83)</f>
        <v/>
      </c>
      <c r="B83" s="173" t="str">
        <f>IF(Project_List!B83="","",Project_List!C83)</f>
        <v/>
      </c>
      <c r="C83" s="174" t="str">
        <f>IF(Project_List!B83="","",Project_List!M83)</f>
        <v/>
      </c>
      <c r="D83" s="174" t="str">
        <f>IF(Project_List!B83="","",Project_List!N83)</f>
        <v/>
      </c>
      <c r="E83" s="69" t="str">
        <f t="shared" si="10"/>
        <v/>
      </c>
      <c r="F83" s="69" t="str">
        <f>IF(A83="","",IFERROR(SUMIFS(Time_Tracking!$J$3:$J$202,Time_Tracking!$E$3:$E$202,A83),0))</f>
        <v/>
      </c>
      <c r="G83" s="69" t="str">
        <f>IF(A83="","",IFERROR(SUMIFS(Logistics!$K$3:$K$102,Logistics!$B$3:$B$102,A83),0))</f>
        <v/>
      </c>
      <c r="H83" s="69" t="str">
        <f t="shared" si="11"/>
        <v/>
      </c>
      <c r="I83" s="69" t="str">
        <f t="shared" si="12"/>
        <v/>
      </c>
      <c r="J83" s="170" t="str">
        <f t="shared" si="13"/>
        <v/>
      </c>
      <c r="K83" s="175" t="str">
        <f t="shared" si="14"/>
        <v/>
      </c>
      <c r="L83" s="61"/>
    </row>
    <row r="84" spans="1:12" ht="15" customHeight="1" x14ac:dyDescent="0.25">
      <c r="A84" s="173" t="str">
        <f>IF(Project_List!B84="","",Project_List!B84)</f>
        <v/>
      </c>
      <c r="B84" s="173" t="str">
        <f>IF(Project_List!B84="","",Project_List!C84)</f>
        <v/>
      </c>
      <c r="C84" s="174" t="str">
        <f>IF(Project_List!B84="","",Project_List!M84)</f>
        <v/>
      </c>
      <c r="D84" s="174" t="str">
        <f>IF(Project_List!B84="","",Project_List!N84)</f>
        <v/>
      </c>
      <c r="E84" s="69" t="str">
        <f t="shared" si="10"/>
        <v/>
      </c>
      <c r="F84" s="69" t="str">
        <f>IF(A84="","",IFERROR(SUMIFS(Time_Tracking!$J$3:$J$202,Time_Tracking!$E$3:$E$202,A84),0))</f>
        <v/>
      </c>
      <c r="G84" s="69" t="str">
        <f>IF(A84="","",IFERROR(SUMIFS(Logistics!$K$3:$K$102,Logistics!$B$3:$B$102,A84),0))</f>
        <v/>
      </c>
      <c r="H84" s="69" t="str">
        <f t="shared" si="11"/>
        <v/>
      </c>
      <c r="I84" s="69" t="str">
        <f t="shared" si="12"/>
        <v/>
      </c>
      <c r="J84" s="170" t="str">
        <f t="shared" si="13"/>
        <v/>
      </c>
      <c r="K84" s="175" t="str">
        <f t="shared" si="14"/>
        <v/>
      </c>
      <c r="L84" s="61"/>
    </row>
    <row r="85" spans="1:12" ht="15" customHeight="1" x14ac:dyDescent="0.25">
      <c r="A85" s="173" t="str">
        <f>IF(Project_List!B85="","",Project_List!B85)</f>
        <v/>
      </c>
      <c r="B85" s="173" t="str">
        <f>IF(Project_List!B85="","",Project_List!C85)</f>
        <v/>
      </c>
      <c r="C85" s="174" t="str">
        <f>IF(Project_List!B85="","",Project_List!M85)</f>
        <v/>
      </c>
      <c r="D85" s="174" t="str">
        <f>IF(Project_List!B85="","",Project_List!N85)</f>
        <v/>
      </c>
      <c r="E85" s="69" t="str">
        <f t="shared" si="10"/>
        <v/>
      </c>
      <c r="F85" s="69" t="str">
        <f>IF(A85="","",IFERROR(SUMIFS(Time_Tracking!$J$3:$J$202,Time_Tracking!$E$3:$E$202,A85),0))</f>
        <v/>
      </c>
      <c r="G85" s="69" t="str">
        <f>IF(A85="","",IFERROR(SUMIFS(Logistics!$K$3:$K$102,Logistics!$B$3:$B$102,A85),0))</f>
        <v/>
      </c>
      <c r="H85" s="69" t="str">
        <f t="shared" si="11"/>
        <v/>
      </c>
      <c r="I85" s="69" t="str">
        <f t="shared" si="12"/>
        <v/>
      </c>
      <c r="J85" s="170" t="str">
        <f t="shared" si="13"/>
        <v/>
      </c>
      <c r="K85" s="175" t="str">
        <f t="shared" si="14"/>
        <v/>
      </c>
      <c r="L85" s="61"/>
    </row>
    <row r="86" spans="1:12" ht="15" customHeight="1" x14ac:dyDescent="0.25">
      <c r="A86" s="173" t="str">
        <f>IF(Project_List!B86="","",Project_List!B86)</f>
        <v/>
      </c>
      <c r="B86" s="173" t="str">
        <f>IF(Project_List!B86="","",Project_List!C86)</f>
        <v/>
      </c>
      <c r="C86" s="174" t="str">
        <f>IF(Project_List!B86="","",Project_List!M86)</f>
        <v/>
      </c>
      <c r="D86" s="174" t="str">
        <f>IF(Project_List!B86="","",Project_List!N86)</f>
        <v/>
      </c>
      <c r="E86" s="69" t="str">
        <f t="shared" si="10"/>
        <v/>
      </c>
      <c r="F86" s="69" t="str">
        <f>IF(A86="","",IFERROR(SUMIFS(Time_Tracking!$J$3:$J$202,Time_Tracking!$E$3:$E$202,A86),0))</f>
        <v/>
      </c>
      <c r="G86" s="69" t="str">
        <f>IF(A86="","",IFERROR(SUMIFS(Logistics!$K$3:$K$102,Logistics!$B$3:$B$102,A86),0))</f>
        <v/>
      </c>
      <c r="H86" s="69" t="str">
        <f t="shared" si="11"/>
        <v/>
      </c>
      <c r="I86" s="69" t="str">
        <f t="shared" si="12"/>
        <v/>
      </c>
      <c r="J86" s="170" t="str">
        <f t="shared" si="13"/>
        <v/>
      </c>
      <c r="K86" s="175" t="str">
        <f t="shared" si="14"/>
        <v/>
      </c>
      <c r="L86" s="61"/>
    </row>
    <row r="87" spans="1:12" ht="15" customHeight="1" x14ac:dyDescent="0.25">
      <c r="A87" s="173" t="str">
        <f>IF(Project_List!B87="","",Project_List!B87)</f>
        <v/>
      </c>
      <c r="B87" s="173" t="str">
        <f>IF(Project_List!B87="","",Project_List!C87)</f>
        <v/>
      </c>
      <c r="C87" s="174" t="str">
        <f>IF(Project_List!B87="","",Project_List!M87)</f>
        <v/>
      </c>
      <c r="D87" s="174" t="str">
        <f>IF(Project_List!B87="","",Project_List!N87)</f>
        <v/>
      </c>
      <c r="E87" s="69" t="str">
        <f t="shared" si="10"/>
        <v/>
      </c>
      <c r="F87" s="69" t="str">
        <f>IF(A87="","",IFERROR(SUMIFS(Time_Tracking!$J$3:$J$202,Time_Tracking!$E$3:$E$202,A87),0))</f>
        <v/>
      </c>
      <c r="G87" s="69" t="str">
        <f>IF(A87="","",IFERROR(SUMIFS(Logistics!$K$3:$K$102,Logistics!$B$3:$B$102,A87),0))</f>
        <v/>
      </c>
      <c r="H87" s="69" t="str">
        <f t="shared" si="11"/>
        <v/>
      </c>
      <c r="I87" s="69" t="str">
        <f t="shared" si="12"/>
        <v/>
      </c>
      <c r="J87" s="170" t="str">
        <f t="shared" si="13"/>
        <v/>
      </c>
      <c r="K87" s="175" t="str">
        <f t="shared" si="14"/>
        <v/>
      </c>
      <c r="L87" s="61"/>
    </row>
    <row r="88" spans="1:12" ht="15" customHeight="1" x14ac:dyDescent="0.25">
      <c r="A88" s="173" t="str">
        <f>IF(Project_List!B88="","",Project_List!B88)</f>
        <v/>
      </c>
      <c r="B88" s="173" t="str">
        <f>IF(Project_List!B88="","",Project_List!C88)</f>
        <v/>
      </c>
      <c r="C88" s="174" t="str">
        <f>IF(Project_List!B88="","",Project_List!M88)</f>
        <v/>
      </c>
      <c r="D88" s="174" t="str">
        <f>IF(Project_List!B88="","",Project_List!N88)</f>
        <v/>
      </c>
      <c r="E88" s="69" t="str">
        <f t="shared" si="10"/>
        <v/>
      </c>
      <c r="F88" s="69" t="str">
        <f>IF(A88="","",IFERROR(SUMIFS(Time_Tracking!$J$3:$J$202,Time_Tracking!$E$3:$E$202,A88),0))</f>
        <v/>
      </c>
      <c r="G88" s="69" t="str">
        <f>IF(A88="","",IFERROR(SUMIFS(Logistics!$K$3:$K$102,Logistics!$B$3:$B$102,A88),0))</f>
        <v/>
      </c>
      <c r="H88" s="69" t="str">
        <f t="shared" si="11"/>
        <v/>
      </c>
      <c r="I88" s="69" t="str">
        <f t="shared" si="12"/>
        <v/>
      </c>
      <c r="J88" s="170" t="str">
        <f t="shared" si="13"/>
        <v/>
      </c>
      <c r="K88" s="175" t="str">
        <f t="shared" si="14"/>
        <v/>
      </c>
      <c r="L88" s="61"/>
    </row>
    <row r="89" spans="1:12" ht="15" customHeight="1" x14ac:dyDescent="0.25">
      <c r="A89" s="173" t="str">
        <f>IF(Project_List!B89="","",Project_List!B89)</f>
        <v/>
      </c>
      <c r="B89" s="173" t="str">
        <f>IF(Project_List!B89="","",Project_List!C89)</f>
        <v/>
      </c>
      <c r="C89" s="174" t="str">
        <f>IF(Project_List!B89="","",Project_List!M89)</f>
        <v/>
      </c>
      <c r="D89" s="174" t="str">
        <f>IF(Project_List!B89="","",Project_List!N89)</f>
        <v/>
      </c>
      <c r="E89" s="69" t="str">
        <f t="shared" si="10"/>
        <v/>
      </c>
      <c r="F89" s="69" t="str">
        <f>IF(A89="","",IFERROR(SUMIFS(Time_Tracking!$J$3:$J$202,Time_Tracking!$E$3:$E$202,A89),0))</f>
        <v/>
      </c>
      <c r="G89" s="69" t="str">
        <f>IF(A89="","",IFERROR(SUMIFS(Logistics!$K$3:$K$102,Logistics!$B$3:$B$102,A89),0))</f>
        <v/>
      </c>
      <c r="H89" s="69" t="str">
        <f t="shared" si="11"/>
        <v/>
      </c>
      <c r="I89" s="69" t="str">
        <f t="shared" si="12"/>
        <v/>
      </c>
      <c r="J89" s="170" t="str">
        <f t="shared" si="13"/>
        <v/>
      </c>
      <c r="K89" s="175" t="str">
        <f t="shared" si="14"/>
        <v/>
      </c>
      <c r="L89" s="61"/>
    </row>
    <row r="90" spans="1:12" ht="15" customHeight="1" x14ac:dyDescent="0.25">
      <c r="A90" s="173" t="str">
        <f>IF(Project_List!B90="","",Project_List!B90)</f>
        <v/>
      </c>
      <c r="B90" s="173" t="str">
        <f>IF(Project_List!B90="","",Project_List!C90)</f>
        <v/>
      </c>
      <c r="C90" s="174" t="str">
        <f>IF(Project_List!B90="","",Project_List!M90)</f>
        <v/>
      </c>
      <c r="D90" s="174" t="str">
        <f>IF(Project_List!B90="","",Project_List!N90)</f>
        <v/>
      </c>
      <c r="E90" s="69" t="str">
        <f t="shared" si="10"/>
        <v/>
      </c>
      <c r="F90" s="69" t="str">
        <f>IF(A90="","",IFERROR(SUMIFS(Time_Tracking!$J$3:$J$202,Time_Tracking!$E$3:$E$202,A90),0))</f>
        <v/>
      </c>
      <c r="G90" s="69" t="str">
        <f>IF(A90="","",IFERROR(SUMIFS(Logistics!$K$3:$K$102,Logistics!$B$3:$B$102,A90),0))</f>
        <v/>
      </c>
      <c r="H90" s="69" t="str">
        <f t="shared" si="11"/>
        <v/>
      </c>
      <c r="I90" s="69" t="str">
        <f t="shared" si="12"/>
        <v/>
      </c>
      <c r="J90" s="170" t="str">
        <f t="shared" si="13"/>
        <v/>
      </c>
      <c r="K90" s="175" t="str">
        <f t="shared" si="14"/>
        <v/>
      </c>
      <c r="L90" s="61"/>
    </row>
    <row r="91" spans="1:12" ht="15" customHeight="1" x14ac:dyDescent="0.25">
      <c r="A91" s="173" t="str">
        <f>IF(Project_List!B91="","",Project_List!B91)</f>
        <v/>
      </c>
      <c r="B91" s="173" t="str">
        <f>IF(Project_List!B91="","",Project_List!C91)</f>
        <v/>
      </c>
      <c r="C91" s="174" t="str">
        <f>IF(Project_List!B91="","",Project_List!M91)</f>
        <v/>
      </c>
      <c r="D91" s="174" t="str">
        <f>IF(Project_List!B91="","",Project_List!N91)</f>
        <v/>
      </c>
      <c r="E91" s="69" t="str">
        <f t="shared" si="10"/>
        <v/>
      </c>
      <c r="F91" s="69" t="str">
        <f>IF(A91="","",IFERROR(SUMIFS(Time_Tracking!$J$3:$J$202,Time_Tracking!$E$3:$E$202,A91),0))</f>
        <v/>
      </c>
      <c r="G91" s="69" t="str">
        <f>IF(A91="","",IFERROR(SUMIFS(Logistics!$K$3:$K$102,Logistics!$B$3:$B$102,A91),0))</f>
        <v/>
      </c>
      <c r="H91" s="69" t="str">
        <f t="shared" si="11"/>
        <v/>
      </c>
      <c r="I91" s="69" t="str">
        <f t="shared" si="12"/>
        <v/>
      </c>
      <c r="J91" s="170" t="str">
        <f t="shared" si="13"/>
        <v/>
      </c>
      <c r="K91" s="175" t="str">
        <f t="shared" si="14"/>
        <v/>
      </c>
      <c r="L91" s="61"/>
    </row>
    <row r="92" spans="1:12" ht="15" customHeight="1" x14ac:dyDescent="0.25">
      <c r="A92" s="173" t="str">
        <f>IF(Project_List!B92="","",Project_List!B92)</f>
        <v/>
      </c>
      <c r="B92" s="173" t="str">
        <f>IF(Project_List!B92="","",Project_List!C92)</f>
        <v/>
      </c>
      <c r="C92" s="174" t="str">
        <f>IF(Project_List!B92="","",Project_List!M92)</f>
        <v/>
      </c>
      <c r="D92" s="174" t="str">
        <f>IF(Project_List!B92="","",Project_List!N92)</f>
        <v/>
      </c>
      <c r="E92" s="69" t="str">
        <f t="shared" si="10"/>
        <v/>
      </c>
      <c r="F92" s="69" t="str">
        <f>IF(A92="","",IFERROR(SUMIFS(Time_Tracking!$J$3:$J$202,Time_Tracking!$E$3:$E$202,A92),0))</f>
        <v/>
      </c>
      <c r="G92" s="69" t="str">
        <f>IF(A92="","",IFERROR(SUMIFS(Logistics!$K$3:$K$102,Logistics!$B$3:$B$102,A92),0))</f>
        <v/>
      </c>
      <c r="H92" s="69" t="str">
        <f t="shared" si="11"/>
        <v/>
      </c>
      <c r="I92" s="69" t="str">
        <f t="shared" si="12"/>
        <v/>
      </c>
      <c r="J92" s="170" t="str">
        <f t="shared" si="13"/>
        <v/>
      </c>
      <c r="K92" s="175" t="str">
        <f t="shared" si="14"/>
        <v/>
      </c>
      <c r="L92" s="61"/>
    </row>
    <row r="93" spans="1:12" ht="15" customHeight="1" x14ac:dyDescent="0.25">
      <c r="A93" s="173" t="str">
        <f>IF(Project_List!B93="","",Project_List!B93)</f>
        <v/>
      </c>
      <c r="B93" s="173" t="str">
        <f>IF(Project_List!B93="","",Project_List!C93)</f>
        <v/>
      </c>
      <c r="C93" s="174" t="str">
        <f>IF(Project_List!B93="","",Project_List!M93)</f>
        <v/>
      </c>
      <c r="D93" s="174" t="str">
        <f>IF(Project_List!B93="","",Project_List!N93)</f>
        <v/>
      </c>
      <c r="E93" s="69" t="str">
        <f t="shared" si="10"/>
        <v/>
      </c>
      <c r="F93" s="69" t="str">
        <f>IF(A93="","",IFERROR(SUMIFS(Time_Tracking!$J$3:$J$202,Time_Tracking!$E$3:$E$202,A93),0))</f>
        <v/>
      </c>
      <c r="G93" s="69" t="str">
        <f>IF(A93="","",IFERROR(SUMIFS(Logistics!$K$3:$K$102,Logistics!$B$3:$B$102,A93),0))</f>
        <v/>
      </c>
      <c r="H93" s="69" t="str">
        <f t="shared" si="11"/>
        <v/>
      </c>
      <c r="I93" s="69" t="str">
        <f t="shared" si="12"/>
        <v/>
      </c>
      <c r="J93" s="170" t="str">
        <f t="shared" si="13"/>
        <v/>
      </c>
      <c r="K93" s="175" t="str">
        <f t="shared" si="14"/>
        <v/>
      </c>
      <c r="L93" s="61"/>
    </row>
    <row r="94" spans="1:12" ht="15" customHeight="1" x14ac:dyDescent="0.25">
      <c r="A94" s="173" t="str">
        <f>IF(Project_List!B94="","",Project_List!B94)</f>
        <v/>
      </c>
      <c r="B94" s="173" t="str">
        <f>IF(Project_List!B94="","",Project_List!C94)</f>
        <v/>
      </c>
      <c r="C94" s="174" t="str">
        <f>IF(Project_List!B94="","",Project_List!M94)</f>
        <v/>
      </c>
      <c r="D94" s="174" t="str">
        <f>IF(Project_List!B94="","",Project_List!N94)</f>
        <v/>
      </c>
      <c r="E94" s="69" t="str">
        <f t="shared" si="10"/>
        <v/>
      </c>
      <c r="F94" s="69" t="str">
        <f>IF(A94="","",IFERROR(SUMIFS(Time_Tracking!$J$3:$J$202,Time_Tracking!$E$3:$E$202,A94),0))</f>
        <v/>
      </c>
      <c r="G94" s="69" t="str">
        <f>IF(A94="","",IFERROR(SUMIFS(Logistics!$K$3:$K$102,Logistics!$B$3:$B$102,A94),0))</f>
        <v/>
      </c>
      <c r="H94" s="69" t="str">
        <f t="shared" si="11"/>
        <v/>
      </c>
      <c r="I94" s="69" t="str">
        <f t="shared" si="12"/>
        <v/>
      </c>
      <c r="J94" s="170" t="str">
        <f t="shared" si="13"/>
        <v/>
      </c>
      <c r="K94" s="175" t="str">
        <f t="shared" si="14"/>
        <v/>
      </c>
      <c r="L94" s="61"/>
    </row>
    <row r="95" spans="1:12" ht="15" customHeight="1" x14ac:dyDescent="0.25">
      <c r="A95" s="173" t="str">
        <f>IF(Project_List!B95="","",Project_List!B95)</f>
        <v/>
      </c>
      <c r="B95" s="173" t="str">
        <f>IF(Project_List!B95="","",Project_List!C95)</f>
        <v/>
      </c>
      <c r="C95" s="174" t="str">
        <f>IF(Project_List!B95="","",Project_List!M95)</f>
        <v/>
      </c>
      <c r="D95" s="174" t="str">
        <f>IF(Project_List!B95="","",Project_List!N95)</f>
        <v/>
      </c>
      <c r="E95" s="69" t="str">
        <f t="shared" si="10"/>
        <v/>
      </c>
      <c r="F95" s="69" t="str">
        <f>IF(A95="","",IFERROR(SUMIFS(Time_Tracking!$J$3:$J$202,Time_Tracking!$E$3:$E$202,A95),0))</f>
        <v/>
      </c>
      <c r="G95" s="69" t="str">
        <f>IF(A95="","",IFERROR(SUMIFS(Logistics!$K$3:$K$102,Logistics!$B$3:$B$102,A95),0))</f>
        <v/>
      </c>
      <c r="H95" s="69" t="str">
        <f t="shared" si="11"/>
        <v/>
      </c>
      <c r="I95" s="69" t="str">
        <f t="shared" si="12"/>
        <v/>
      </c>
      <c r="J95" s="170" t="str">
        <f t="shared" si="13"/>
        <v/>
      </c>
      <c r="K95" s="175" t="str">
        <f t="shared" si="14"/>
        <v/>
      </c>
      <c r="L95" s="61"/>
    </row>
    <row r="96" spans="1:12" ht="15" customHeight="1" x14ac:dyDescent="0.25">
      <c r="A96" s="173" t="str">
        <f>IF(Project_List!B96="","",Project_List!B96)</f>
        <v/>
      </c>
      <c r="B96" s="173" t="str">
        <f>IF(Project_List!B96="","",Project_List!C96)</f>
        <v/>
      </c>
      <c r="C96" s="174" t="str">
        <f>IF(Project_List!B96="","",Project_List!M96)</f>
        <v/>
      </c>
      <c r="D96" s="174" t="str">
        <f>IF(Project_List!B96="","",Project_List!N96)</f>
        <v/>
      </c>
      <c r="E96" s="69" t="str">
        <f t="shared" si="10"/>
        <v/>
      </c>
      <c r="F96" s="69" t="str">
        <f>IF(A96="","",IFERROR(SUMIFS(Time_Tracking!$J$3:$J$202,Time_Tracking!$E$3:$E$202,A96),0))</f>
        <v/>
      </c>
      <c r="G96" s="69" t="str">
        <f>IF(A96="","",IFERROR(SUMIFS(Logistics!$K$3:$K$102,Logistics!$B$3:$B$102,A96),0))</f>
        <v/>
      </c>
      <c r="H96" s="69" t="str">
        <f t="shared" si="11"/>
        <v/>
      </c>
      <c r="I96" s="69" t="str">
        <f t="shared" si="12"/>
        <v/>
      </c>
      <c r="J96" s="170" t="str">
        <f t="shared" si="13"/>
        <v/>
      </c>
      <c r="K96" s="175" t="str">
        <f t="shared" si="14"/>
        <v/>
      </c>
      <c r="L96" s="61"/>
    </row>
    <row r="97" spans="1:12" ht="15" customHeight="1" x14ac:dyDescent="0.25">
      <c r="A97" s="173" t="str">
        <f>IF(Project_List!B97="","",Project_List!B97)</f>
        <v/>
      </c>
      <c r="B97" s="173" t="str">
        <f>IF(Project_List!B97="","",Project_List!C97)</f>
        <v/>
      </c>
      <c r="C97" s="174" t="str">
        <f>IF(Project_List!B97="","",Project_List!M97)</f>
        <v/>
      </c>
      <c r="D97" s="174" t="str">
        <f>IF(Project_List!B97="","",Project_List!N97)</f>
        <v/>
      </c>
      <c r="E97" s="69" t="str">
        <f t="shared" si="10"/>
        <v/>
      </c>
      <c r="F97" s="69" t="str">
        <f>IF(A97="","",IFERROR(SUMIFS(Time_Tracking!$J$3:$J$202,Time_Tracking!$E$3:$E$202,A97),0))</f>
        <v/>
      </c>
      <c r="G97" s="69" t="str">
        <f>IF(A97="","",IFERROR(SUMIFS(Logistics!$K$3:$K$102,Logistics!$B$3:$B$102,A97),0))</f>
        <v/>
      </c>
      <c r="H97" s="69" t="str">
        <f t="shared" si="11"/>
        <v/>
      </c>
      <c r="I97" s="69" t="str">
        <f t="shared" si="12"/>
        <v/>
      </c>
      <c r="J97" s="170" t="str">
        <f t="shared" si="13"/>
        <v/>
      </c>
      <c r="K97" s="175" t="str">
        <f t="shared" si="14"/>
        <v/>
      </c>
      <c r="L97" s="61"/>
    </row>
    <row r="98" spans="1:12" ht="15" customHeight="1" x14ac:dyDescent="0.25">
      <c r="A98" s="173" t="str">
        <f>IF(Project_List!B98="","",Project_List!B98)</f>
        <v/>
      </c>
      <c r="B98" s="173" t="str">
        <f>IF(Project_List!B98="","",Project_List!C98)</f>
        <v/>
      </c>
      <c r="C98" s="174" t="str">
        <f>IF(Project_List!B98="","",Project_List!M98)</f>
        <v/>
      </c>
      <c r="D98" s="174" t="str">
        <f>IF(Project_List!B98="","",Project_List!N98)</f>
        <v/>
      </c>
      <c r="E98" s="69" t="str">
        <f t="shared" si="10"/>
        <v/>
      </c>
      <c r="F98" s="69" t="str">
        <f>IF(A98="","",IFERROR(SUMIFS(Time_Tracking!$J$3:$J$202,Time_Tracking!$E$3:$E$202,A98),0))</f>
        <v/>
      </c>
      <c r="G98" s="69" t="str">
        <f>IF(A98="","",IFERROR(SUMIFS(Logistics!$K$3:$K$102,Logistics!$B$3:$B$102,A98),0))</f>
        <v/>
      </c>
      <c r="H98" s="69" t="str">
        <f t="shared" si="11"/>
        <v/>
      </c>
      <c r="I98" s="69" t="str">
        <f t="shared" si="12"/>
        <v/>
      </c>
      <c r="J98" s="170" t="str">
        <f t="shared" si="13"/>
        <v/>
      </c>
      <c r="K98" s="175" t="str">
        <f t="shared" si="14"/>
        <v/>
      </c>
      <c r="L98" s="61"/>
    </row>
    <row r="99" spans="1:12" ht="15" customHeight="1" x14ac:dyDescent="0.25">
      <c r="A99" s="173" t="str">
        <f>IF(Project_List!B99="","",Project_List!B99)</f>
        <v/>
      </c>
      <c r="B99" s="173" t="str">
        <f>IF(Project_List!B99="","",Project_List!C99)</f>
        <v/>
      </c>
      <c r="C99" s="174" t="str">
        <f>IF(Project_List!B99="","",Project_List!M99)</f>
        <v/>
      </c>
      <c r="D99" s="174" t="str">
        <f>IF(Project_List!B99="","",Project_List!N99)</f>
        <v/>
      </c>
      <c r="E99" s="69" t="str">
        <f t="shared" si="10"/>
        <v/>
      </c>
      <c r="F99" s="69" t="str">
        <f>IF(A99="","",IFERROR(SUMIFS(Time_Tracking!$J$3:$J$202,Time_Tracking!$E$3:$E$202,A99),0))</f>
        <v/>
      </c>
      <c r="G99" s="69" t="str">
        <f>IF(A99="","",IFERROR(SUMIFS(Logistics!$K$3:$K$102,Logistics!$B$3:$B$102,A99),0))</f>
        <v/>
      </c>
      <c r="H99" s="69" t="str">
        <f t="shared" ref="H99:H102" si="15">IF(A99="","",E99+F99+G99)</f>
        <v/>
      </c>
      <c r="I99" s="69" t="str">
        <f t="shared" ref="I99:I102" si="16">IF(A99="","",D99-H99)</f>
        <v/>
      </c>
      <c r="J99" s="170" t="str">
        <f t="shared" ref="J99:J102" si="17">IFERROR(IF(OR(A99="",D99=0),"",I99/D99),"")</f>
        <v/>
      </c>
      <c r="K99" s="175" t="str">
        <f t="shared" ref="K99:K102" si="18">IF(A99="","",IF(J99="","—",IF(J99&gt;=0.05,"Under budget",IF(J99&gt;=-0.05,"On budget",IF(J99&gt;=-0.15,"Over","Critical over")))))</f>
        <v/>
      </c>
      <c r="L99" s="61"/>
    </row>
    <row r="100" spans="1:12" ht="15" customHeight="1" x14ac:dyDescent="0.25">
      <c r="A100" s="173" t="str">
        <f>IF(Project_List!B100="","",Project_List!B100)</f>
        <v/>
      </c>
      <c r="B100" s="173" t="str">
        <f>IF(Project_List!B100="","",Project_List!C100)</f>
        <v/>
      </c>
      <c r="C100" s="174" t="str">
        <f>IF(Project_List!B100="","",Project_List!M100)</f>
        <v/>
      </c>
      <c r="D100" s="174" t="str">
        <f>IF(Project_List!B100="","",Project_List!N100)</f>
        <v/>
      </c>
      <c r="E100" s="69" t="str">
        <f t="shared" si="10"/>
        <v/>
      </c>
      <c r="F100" s="69" t="str">
        <f>IF(A100="","",IFERROR(SUMIFS(Time_Tracking!$J$3:$J$202,Time_Tracking!$E$3:$E$202,A100),0))</f>
        <v/>
      </c>
      <c r="G100" s="69" t="str">
        <f>IF(A100="","",IFERROR(SUMIFS(Logistics!$K$3:$K$102,Logistics!$B$3:$B$102,A100),0))</f>
        <v/>
      </c>
      <c r="H100" s="69" t="str">
        <f t="shared" si="15"/>
        <v/>
      </c>
      <c r="I100" s="69" t="str">
        <f t="shared" si="16"/>
        <v/>
      </c>
      <c r="J100" s="170" t="str">
        <f t="shared" si="17"/>
        <v/>
      </c>
      <c r="K100" s="175" t="str">
        <f t="shared" si="18"/>
        <v/>
      </c>
      <c r="L100" s="61"/>
    </row>
    <row r="101" spans="1:12" ht="15" customHeight="1" x14ac:dyDescent="0.25">
      <c r="A101" s="173" t="str">
        <f>IF(Project_List!B101="","",Project_List!B101)</f>
        <v/>
      </c>
      <c r="B101" s="173" t="str">
        <f>IF(Project_List!B101="","",Project_List!C101)</f>
        <v/>
      </c>
      <c r="C101" s="174" t="str">
        <f>IF(Project_List!B101="","",Project_List!M101)</f>
        <v/>
      </c>
      <c r="D101" s="174" t="str">
        <f>IF(Project_List!B101="","",Project_List!N101)</f>
        <v/>
      </c>
      <c r="E101" s="69" t="str">
        <f t="shared" si="10"/>
        <v/>
      </c>
      <c r="F101" s="69" t="str">
        <f>IF(A101="","",IFERROR(SUMIFS(Time_Tracking!$J$3:$J$202,Time_Tracking!$E$3:$E$202,A101),0))</f>
        <v/>
      </c>
      <c r="G101" s="69" t="str">
        <f>IF(A101="","",IFERROR(SUMIFS(Logistics!$K$3:$K$102,Logistics!$B$3:$B$102,A101),0))</f>
        <v/>
      </c>
      <c r="H101" s="69" t="str">
        <f t="shared" si="15"/>
        <v/>
      </c>
      <c r="I101" s="69" t="str">
        <f t="shared" si="16"/>
        <v/>
      </c>
      <c r="J101" s="170" t="str">
        <f t="shared" si="17"/>
        <v/>
      </c>
      <c r="K101" s="175" t="str">
        <f t="shared" si="18"/>
        <v/>
      </c>
      <c r="L101" s="61"/>
    </row>
    <row r="102" spans="1:12" ht="15" customHeight="1" x14ac:dyDescent="0.25">
      <c r="A102" s="173" t="str">
        <f>IF(Project_List!B102="","",Project_List!B102)</f>
        <v/>
      </c>
      <c r="B102" s="173" t="str">
        <f>IF(Project_List!B102="","",Project_List!C102)</f>
        <v/>
      </c>
      <c r="C102" s="174" t="str">
        <f>IF(Project_List!B102="","",Project_List!M102)</f>
        <v/>
      </c>
      <c r="D102" s="174" t="str">
        <f>IF(Project_List!B102="","",Project_List!N102)</f>
        <v/>
      </c>
      <c r="E102" s="69" t="str">
        <f t="shared" si="10"/>
        <v/>
      </c>
      <c r="F102" s="69" t="str">
        <f>IF(A102="","",IFERROR(SUMIFS(Time_Tracking!$J$3:$J$202,Time_Tracking!$E$3:$E$202,A102),0))</f>
        <v/>
      </c>
      <c r="G102" s="69" t="str">
        <f>IF(A102="","",IFERROR(SUMIFS(Logistics!$K$3:$K$102,Logistics!$B$3:$B$102,A102),0))</f>
        <v/>
      </c>
      <c r="H102" s="69" t="str">
        <f t="shared" si="15"/>
        <v/>
      </c>
      <c r="I102" s="69" t="str">
        <f t="shared" si="16"/>
        <v/>
      </c>
      <c r="J102" s="170" t="str">
        <f t="shared" si="17"/>
        <v/>
      </c>
      <c r="K102" s="175" t="str">
        <f t="shared" si="18"/>
        <v/>
      </c>
      <c r="L102" s="61"/>
    </row>
    <row r="103" spans="1:12" x14ac:dyDescent="0.25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  <row r="104" spans="1:12" x14ac:dyDescent="0.25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</row>
    <row r="105" spans="1:12" ht="15" customHeight="1" x14ac:dyDescent="0.25">
      <c r="A105" s="72" t="s">
        <v>1166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</row>
    <row r="106" spans="1:12" ht="15" customHeight="1" x14ac:dyDescent="0.25">
      <c r="A106" s="61" t="s">
        <v>1167</v>
      </c>
      <c r="B106" s="61"/>
      <c r="C106" s="69">
        <f>SUM(C3:C102)</f>
        <v>134600</v>
      </c>
      <c r="D106" s="61"/>
      <c r="E106" s="61"/>
      <c r="F106" s="61"/>
      <c r="G106" s="61"/>
      <c r="H106" s="61"/>
      <c r="I106" s="61"/>
      <c r="J106" s="61"/>
      <c r="K106" s="61"/>
      <c r="L106" s="61"/>
    </row>
    <row r="107" spans="1:12" ht="15" customHeight="1" x14ac:dyDescent="0.25">
      <c r="A107" s="61" t="s">
        <v>1168</v>
      </c>
      <c r="B107" s="61"/>
      <c r="C107" s="69">
        <f>SUM(H3:H102)</f>
        <v>378.15999999999997</v>
      </c>
      <c r="D107" s="61"/>
      <c r="E107" s="61"/>
      <c r="F107" s="61"/>
      <c r="G107" s="61"/>
      <c r="H107" s="61"/>
      <c r="I107" s="61"/>
      <c r="J107" s="61"/>
      <c r="K107" s="61"/>
      <c r="L107" s="61"/>
    </row>
    <row r="108" spans="1:12" ht="15" customHeight="1" x14ac:dyDescent="0.25">
      <c r="A108" s="61" t="s">
        <v>1169</v>
      </c>
      <c r="B108" s="61"/>
      <c r="C108" s="69">
        <f>C106-C107</f>
        <v>134221.84</v>
      </c>
      <c r="D108" s="61"/>
      <c r="E108" s="61"/>
      <c r="F108" s="61"/>
      <c r="G108" s="61"/>
      <c r="H108" s="61"/>
      <c r="I108" s="61"/>
      <c r="J108" s="61"/>
      <c r="K108" s="61"/>
      <c r="L108" s="61"/>
    </row>
    <row r="109" spans="1:12" ht="15" customHeight="1" x14ac:dyDescent="0.25">
      <c r="A109" s="61" t="s">
        <v>1170</v>
      </c>
      <c r="B109" s="61"/>
      <c r="C109" s="175">
        <f>COUNTIFS(K3:K102,"Over")+COUNTIFS(K3:K102,"Critical over")</f>
        <v>0</v>
      </c>
      <c r="D109" s="61"/>
      <c r="E109" s="61"/>
      <c r="F109" s="61"/>
      <c r="G109" s="61"/>
      <c r="H109" s="61"/>
      <c r="I109" s="61"/>
      <c r="J109" s="61"/>
      <c r="K109" s="61"/>
      <c r="L109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K3:K102">
    <cfRule type="cellIs" dxfId="26" priority="2" operator="equal">
      <formula>"Under budget"</formula>
    </cfRule>
    <cfRule type="cellIs" dxfId="25" priority="3" operator="equal">
      <formula>"On budget"</formula>
    </cfRule>
    <cfRule type="cellIs" dxfId="24" priority="4" operator="equal">
      <formula>"Over"</formula>
    </cfRule>
    <cfRule type="cellIs" dxfId="23" priority="5" operator="equal">
      <formula>"Critical over"</formula>
    </cfRule>
  </conditionalFormatting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BF8F00"/>
  </sheetPr>
  <dimension ref="A1:G42"/>
  <sheetViews>
    <sheetView topLeftCell="A7" zoomScaleNormal="100" workbookViewId="0">
      <selection activeCell="H22" sqref="H22"/>
    </sheetView>
  </sheetViews>
  <sheetFormatPr defaultColWidth="8.7109375" defaultRowHeight="15" x14ac:dyDescent="0.25"/>
  <cols>
    <col min="1" max="1" width="4" customWidth="1"/>
    <col min="2" max="2" width="30" customWidth="1"/>
    <col min="3" max="6" width="16" customWidth="1"/>
    <col min="7" max="7" width="14" customWidth="1"/>
  </cols>
  <sheetData>
    <row r="1" spans="1:7" ht="30" customHeight="1" x14ac:dyDescent="0.25">
      <c r="A1" s="71" t="s">
        <v>1171</v>
      </c>
      <c r="B1" s="71"/>
      <c r="C1" s="71"/>
      <c r="D1" s="71"/>
      <c r="E1" s="71"/>
      <c r="F1" s="71"/>
      <c r="G1" s="61"/>
    </row>
    <row r="2" spans="1:7" x14ac:dyDescent="0.25">
      <c r="A2" s="61"/>
      <c r="B2" s="61"/>
      <c r="C2" s="61"/>
      <c r="D2" s="61"/>
      <c r="E2" s="61"/>
      <c r="F2" s="61"/>
      <c r="G2" s="61"/>
    </row>
    <row r="3" spans="1:7" ht="15" customHeight="1" x14ac:dyDescent="0.25">
      <c r="A3" s="61"/>
      <c r="B3" s="111" t="s">
        <v>1172</v>
      </c>
      <c r="C3" s="111"/>
      <c r="D3" s="111"/>
      <c r="E3" s="111"/>
      <c r="F3" s="111"/>
      <c r="G3" s="61"/>
    </row>
    <row r="4" spans="1:7" ht="15" customHeight="1" x14ac:dyDescent="0.25">
      <c r="A4" s="61"/>
      <c r="B4" s="112" t="s">
        <v>334</v>
      </c>
      <c r="C4" s="112" t="s">
        <v>1173</v>
      </c>
      <c r="D4" s="112" t="s">
        <v>1174</v>
      </c>
      <c r="E4" s="112" t="s">
        <v>1175</v>
      </c>
      <c r="F4" s="112" t="s">
        <v>344</v>
      </c>
      <c r="G4" s="112" t="s">
        <v>345</v>
      </c>
    </row>
    <row r="5" spans="1:7" ht="15" customHeight="1" x14ac:dyDescent="0.25">
      <c r="A5" s="61"/>
      <c r="B5" s="92" t="s">
        <v>243</v>
      </c>
      <c r="C5" s="143">
        <f>COUNTIFS(Project_Categories,"Doors")</f>
        <v>1</v>
      </c>
      <c r="D5" s="104">
        <f>SUMIFS(Project_Quoted,Project_Categories,"Doors")</f>
        <v>4500</v>
      </c>
      <c r="E5" s="104">
        <f>SUMIFS(Project_Cost,Project_Categories,"Doors")</f>
        <v>2900</v>
      </c>
      <c r="F5" s="104">
        <f t="shared" ref="F5:F11" si="0">D5-E5</f>
        <v>1600</v>
      </c>
      <c r="G5" s="105">
        <f t="shared" ref="G5:G11" si="1">IFERROR((D5-E5)/D5,0)</f>
        <v>0.35555555555555557</v>
      </c>
    </row>
    <row r="6" spans="1:7" ht="15" customHeight="1" x14ac:dyDescent="0.25">
      <c r="A6" s="61"/>
      <c r="B6" s="92" t="s">
        <v>37</v>
      </c>
      <c r="C6" s="143">
        <f>COUNTIFS(Project_Categories,"Kitchens")</f>
        <v>4</v>
      </c>
      <c r="D6" s="104">
        <f>SUMIFS(Project_Quoted,Project_Categories,"Kitchens")</f>
        <v>86300</v>
      </c>
      <c r="E6" s="104">
        <f>SUMIFS(Project_Cost,Project_Categories,"Kitchens")</f>
        <v>57600</v>
      </c>
      <c r="F6" s="104">
        <f t="shared" si="0"/>
        <v>28700</v>
      </c>
      <c r="G6" s="105">
        <f t="shared" si="1"/>
        <v>0.33256083429895711</v>
      </c>
    </row>
    <row r="7" spans="1:7" ht="15" customHeight="1" x14ac:dyDescent="0.25">
      <c r="A7" s="61"/>
      <c r="B7" s="92" t="s">
        <v>237</v>
      </c>
      <c r="C7" s="143">
        <f>COUNTIFS(Project_Categories,"Wardrobes")</f>
        <v>2</v>
      </c>
      <c r="D7" s="104">
        <f>SUMIFS(Project_Quoted,Project_Categories,"Wardrobes")</f>
        <v>18200</v>
      </c>
      <c r="E7" s="104">
        <f>SUMIFS(Project_Cost,Project_Categories,"Wardrobes")</f>
        <v>11700</v>
      </c>
      <c r="F7" s="104">
        <f t="shared" si="0"/>
        <v>6500</v>
      </c>
      <c r="G7" s="105">
        <f t="shared" si="1"/>
        <v>0.35714285714285715</v>
      </c>
    </row>
    <row r="8" spans="1:7" ht="15" customHeight="1" x14ac:dyDescent="0.25">
      <c r="A8" s="61"/>
      <c r="B8" s="92" t="s">
        <v>259</v>
      </c>
      <c r="C8" s="143">
        <f>COUNTIFS(Project_Categories,"Wall panels")</f>
        <v>1</v>
      </c>
      <c r="D8" s="104">
        <f>SUMIFS(Project_Quoted,Project_Categories,"Wall panels")</f>
        <v>4200</v>
      </c>
      <c r="E8" s="104">
        <f>SUMIFS(Project_Cost,Project_Categories,"Wall panels")</f>
        <v>2800</v>
      </c>
      <c r="F8" s="104">
        <f t="shared" si="0"/>
        <v>1400</v>
      </c>
      <c r="G8" s="105">
        <f t="shared" si="1"/>
        <v>0.33333333333333331</v>
      </c>
    </row>
    <row r="9" spans="1:7" ht="15" customHeight="1" x14ac:dyDescent="0.25">
      <c r="A9" s="61"/>
      <c r="B9" s="92" t="s">
        <v>366</v>
      </c>
      <c r="C9" s="143">
        <f>COUNTIFS(Project_Categories,"Ceiling panels")</f>
        <v>1</v>
      </c>
      <c r="D9" s="104">
        <f>SUMIFS(Project_Quoted,Project_Categories,"Ceiling panels")</f>
        <v>3800</v>
      </c>
      <c r="E9" s="104">
        <f>SUMIFS(Project_Cost,Project_Categories,"Ceiling panels")</f>
        <v>2400</v>
      </c>
      <c r="F9" s="104">
        <f t="shared" si="0"/>
        <v>1400</v>
      </c>
      <c r="G9" s="105">
        <f t="shared" si="1"/>
        <v>0.36842105263157893</v>
      </c>
    </row>
    <row r="10" spans="1:7" ht="15" customHeight="1" x14ac:dyDescent="0.25">
      <c r="A10" s="61"/>
      <c r="B10" s="92" t="s">
        <v>249</v>
      </c>
      <c r="C10" s="143">
        <f>COUNTIFS(Project_Categories,"Furniture")</f>
        <v>2</v>
      </c>
      <c r="D10" s="104">
        <f>SUMIFS(Project_Quoted,Project_Categories,"Furniture")</f>
        <v>12000</v>
      </c>
      <c r="E10" s="104">
        <f>SUMIFS(Project_Cost,Project_Categories,"Furniture")</f>
        <v>7800</v>
      </c>
      <c r="F10" s="104">
        <f t="shared" si="0"/>
        <v>4200</v>
      </c>
      <c r="G10" s="105">
        <f t="shared" si="1"/>
        <v>0.35</v>
      </c>
    </row>
    <row r="11" spans="1:7" ht="15" customHeight="1" x14ac:dyDescent="0.25">
      <c r="A11" s="61"/>
      <c r="B11" s="92" t="s">
        <v>51</v>
      </c>
      <c r="C11" s="143">
        <f>COUNTIFS(Project_Categories,"Cabinets")</f>
        <v>1</v>
      </c>
      <c r="D11" s="104">
        <f>SUMIFS(Project_Quoted,Project_Categories,"Cabinets")</f>
        <v>5600</v>
      </c>
      <c r="E11" s="104">
        <f>SUMIFS(Project_Cost,Project_Categories,"Cabinets")</f>
        <v>3800</v>
      </c>
      <c r="F11" s="104">
        <f t="shared" si="0"/>
        <v>1800</v>
      </c>
      <c r="G11" s="105">
        <f t="shared" si="1"/>
        <v>0.32142857142857145</v>
      </c>
    </row>
    <row r="12" spans="1:7" ht="15" customHeight="1" x14ac:dyDescent="0.25">
      <c r="A12" s="61"/>
      <c r="B12" s="176" t="s">
        <v>794</v>
      </c>
      <c r="C12" s="151">
        <f>SUM(C5:C11)</f>
        <v>12</v>
      </c>
      <c r="D12" s="131">
        <f>SUM(D5:D11)</f>
        <v>134600</v>
      </c>
      <c r="E12" s="131">
        <f>SUM(E5:E11)</f>
        <v>89000</v>
      </c>
      <c r="F12" s="131">
        <f>SUM(F5:F11)</f>
        <v>45600</v>
      </c>
      <c r="G12" s="155">
        <f>IFERROR(F12/D12,0)</f>
        <v>0.33878157503714712</v>
      </c>
    </row>
    <row r="13" spans="1:7" x14ac:dyDescent="0.25">
      <c r="A13" s="61"/>
      <c r="B13" s="61"/>
      <c r="C13" s="61"/>
      <c r="D13" s="61"/>
      <c r="E13" s="61"/>
      <c r="F13" s="61"/>
      <c r="G13" s="61"/>
    </row>
    <row r="14" spans="1:7" x14ac:dyDescent="0.25">
      <c r="A14" s="61"/>
      <c r="B14" s="61"/>
      <c r="C14" s="61"/>
      <c r="D14" s="61"/>
      <c r="E14" s="61"/>
      <c r="F14" s="61"/>
      <c r="G14" s="61"/>
    </row>
    <row r="15" spans="1:7" ht="15" customHeight="1" x14ac:dyDescent="0.25">
      <c r="A15" s="61"/>
      <c r="B15" s="111" t="s">
        <v>1176</v>
      </c>
      <c r="C15" s="111"/>
      <c r="D15" s="111"/>
      <c r="E15" s="111"/>
      <c r="F15" s="111"/>
      <c r="G15" s="61"/>
    </row>
    <row r="16" spans="1:7" ht="15" customHeight="1" x14ac:dyDescent="0.25">
      <c r="A16" s="61"/>
      <c r="B16" s="112" t="s">
        <v>668</v>
      </c>
      <c r="C16" s="112" t="s">
        <v>1177</v>
      </c>
      <c r="D16" s="112" t="s">
        <v>783</v>
      </c>
      <c r="E16" s="112" t="s">
        <v>1178</v>
      </c>
      <c r="F16" s="112" t="s">
        <v>669</v>
      </c>
      <c r="G16" s="61"/>
    </row>
    <row r="17" spans="1:7" ht="15" customHeight="1" x14ac:dyDescent="0.25">
      <c r="A17" s="61"/>
      <c r="B17" s="92" t="s">
        <v>468</v>
      </c>
      <c r="C17" s="177">
        <f>SUMIFS(Time_Hours,Time_Dept,"Office")+SUMIFS(Time_Overtime,Time_Dept,"Office")</f>
        <v>0</v>
      </c>
      <c r="D17" s="104">
        <f>SUMIFS(Time_Cost,Time_Dept,"Office")</f>
        <v>0</v>
      </c>
      <c r="E17" s="104">
        <f>SUMIFS(Payroll!$M$3:$M$37,Payroll!$C$3:$C$37,"Office")</f>
        <v>7670</v>
      </c>
      <c r="F17" s="143">
        <f>COUNTIFS(Payroll!$C$3:$C$37,"Office")</f>
        <v>3</v>
      </c>
      <c r="G17" s="61"/>
    </row>
    <row r="18" spans="1:7" ht="15" customHeight="1" x14ac:dyDescent="0.25">
      <c r="A18" s="61"/>
      <c r="B18" s="92" t="s">
        <v>382</v>
      </c>
      <c r="C18" s="177">
        <f>SUMIFS(Time_Hours,Time_Dept,"Design")+SUMIFS(Time_Overtime,Time_Dept,"Design")</f>
        <v>6</v>
      </c>
      <c r="D18" s="104">
        <f>SUMIFS(Time_Cost,Time_Dept,"Design")</f>
        <v>0</v>
      </c>
      <c r="E18" s="104">
        <f>SUMIFS(Payroll!$M$3:$M$37,Payroll!$C$3:$C$37,"Design")</f>
        <v>6372</v>
      </c>
      <c r="F18" s="143">
        <f>COUNTIFS(Payroll!$C$3:$C$37,"Design")</f>
        <v>3</v>
      </c>
      <c r="G18" s="61"/>
    </row>
    <row r="19" spans="1:7" ht="15" customHeight="1" x14ac:dyDescent="0.25">
      <c r="A19" s="61"/>
      <c r="B19" s="92" t="s">
        <v>470</v>
      </c>
      <c r="C19" s="177">
        <f>SUMIFS(Time_Hours,Time_Dept,"CNC")+SUMIFS(Time_Overtime,Time_Dept,"CNC")</f>
        <v>8</v>
      </c>
      <c r="D19" s="104">
        <f>SUMIFS(Time_Cost,Time_Dept,"CNC")</f>
        <v>92</v>
      </c>
      <c r="E19" s="104">
        <f>SUMIFS(Payroll!$M$3:$M$37,Payroll!$C$3:$C$37,"CNC")</f>
        <v>4257.4400000000005</v>
      </c>
      <c r="F19" s="143">
        <f>COUNTIFS(Payroll!$C$3:$C$37,"CNC")</f>
        <v>2</v>
      </c>
      <c r="G19" s="61"/>
    </row>
    <row r="20" spans="1:7" ht="15" customHeight="1" x14ac:dyDescent="0.25">
      <c r="A20" s="61"/>
      <c r="B20" s="92" t="s">
        <v>469</v>
      </c>
      <c r="C20" s="177">
        <f>SUMIFS(Time_Hours,Time_Dept,"Cutting")+SUMIFS(Time_Overtime,Time_Dept,"Cutting")</f>
        <v>0</v>
      </c>
      <c r="D20" s="104">
        <f>SUMIFS(Time_Cost,Time_Dept,"Cutting")</f>
        <v>0</v>
      </c>
      <c r="E20" s="104">
        <f>SUMIFS(Payroll!$M$3:$M$37,Payroll!$C$3:$C$37,"Cutting")</f>
        <v>4922.0159999999996</v>
      </c>
      <c r="F20" s="143">
        <f>COUNTIFS(Payroll!$C$3:$C$37,"Cutting")</f>
        <v>3</v>
      </c>
      <c r="G20" s="61"/>
    </row>
    <row r="21" spans="1:7" ht="15" customHeight="1" x14ac:dyDescent="0.25">
      <c r="A21" s="61"/>
      <c r="B21" s="92" t="s">
        <v>471</v>
      </c>
      <c r="C21" s="177">
        <f>SUMIFS(Time_Hours,Time_Dept,"Edge banding")+SUMIFS(Time_Overtime,Time_Dept,"Edge banding")</f>
        <v>0</v>
      </c>
      <c r="D21" s="104">
        <f>SUMIFS(Time_Cost,Time_Dept,"Edge banding")</f>
        <v>0</v>
      </c>
      <c r="E21" s="104">
        <f>SUMIFS(Payroll!$M$3:$M$37,Payroll!$C$3:$C$37,"Edge banding")</f>
        <v>3468.2559999999994</v>
      </c>
      <c r="F21" s="143">
        <f>COUNTIFS(Payroll!$C$3:$C$37,"Edge banding")</f>
        <v>2</v>
      </c>
      <c r="G21" s="61"/>
    </row>
    <row r="22" spans="1:7" ht="15" customHeight="1" x14ac:dyDescent="0.25">
      <c r="A22" s="61"/>
      <c r="B22" s="92" t="s">
        <v>472</v>
      </c>
      <c r="C22" s="177">
        <f>SUMIFS(Time_Hours,Time_Dept,"Assembly")+SUMIFS(Time_Overtime,Time_Dept,"Assembly")</f>
        <v>8</v>
      </c>
      <c r="D22" s="104">
        <f>SUMIFS(Time_Cost,Time_Dept,"Assembly")</f>
        <v>82.5</v>
      </c>
      <c r="E22" s="104">
        <f>SUMIFS(Payroll!$M$3:$M$37,Payroll!$C$3:$C$37,"Assembly")</f>
        <v>8930.24</v>
      </c>
      <c r="F22" s="143">
        <f>COUNTIFS(Payroll!$C$3:$C$37,"Assembly")</f>
        <v>5</v>
      </c>
      <c r="G22" s="61"/>
    </row>
    <row r="23" spans="1:7" ht="15" customHeight="1" x14ac:dyDescent="0.25">
      <c r="A23" s="61"/>
      <c r="B23" s="92" t="s">
        <v>473</v>
      </c>
      <c r="C23" s="177">
        <f>SUMIFS(Time_Hours,Time_Dept,"Sanding")+SUMIFS(Time_Overtime,Time_Dept,"Sanding")</f>
        <v>0</v>
      </c>
      <c r="D23" s="104">
        <f>SUMIFS(Time_Cost,Time_Dept,"Sanding")</f>
        <v>0</v>
      </c>
      <c r="E23" s="104">
        <f>SUMIFS(Payroll!$M$3:$M$37,Payroll!$C$3:$C$37,"Sanding")</f>
        <v>4984.32</v>
      </c>
      <c r="F23" s="143">
        <f>COUNTIFS(Payroll!$C$3:$C$37,"Sanding")</f>
        <v>3</v>
      </c>
      <c r="G23" s="61"/>
    </row>
    <row r="24" spans="1:7" ht="15" customHeight="1" x14ac:dyDescent="0.25">
      <c r="A24" s="61"/>
      <c r="B24" s="92" t="s">
        <v>475</v>
      </c>
      <c r="C24" s="177">
        <f>SUMIFS(Time_Hours,Time_Dept,"Paint")+SUMIFS(Time_Overtime,Time_Dept,"Paint")</f>
        <v>9</v>
      </c>
      <c r="D24" s="104">
        <f>SUMIFS(Time_Cost,Time_Dept,"Paint")</f>
        <v>104.5</v>
      </c>
      <c r="E24" s="104">
        <f>SUMIFS(Payroll!$M$3:$M$37,Payroll!$C$3:$C$37,"Paint")</f>
        <v>7995.68</v>
      </c>
      <c r="F24" s="143">
        <f>COUNTIFS(Payroll!$C$3:$C$37,"Paint")</f>
        <v>4</v>
      </c>
      <c r="G24" s="61"/>
    </row>
    <row r="25" spans="1:7" ht="15" customHeight="1" x14ac:dyDescent="0.25">
      <c r="A25" s="61"/>
      <c r="B25" s="92" t="s">
        <v>476</v>
      </c>
      <c r="C25" s="177">
        <f>SUMIFS(Time_Hours,Time_Dept,"Packing")+SUMIFS(Time_Overtime,Time_Dept,"Packing")</f>
        <v>0</v>
      </c>
      <c r="D25" s="104">
        <f>SUMIFS(Time_Cost,Time_Dept,"Packing")</f>
        <v>0</v>
      </c>
      <c r="E25" s="104">
        <f>SUMIFS(Payroll!$M$3:$M$37,Payroll!$C$3:$C$37,"Packing")</f>
        <v>3011.3599999999997</v>
      </c>
      <c r="F25" s="143">
        <f>COUNTIFS(Payroll!$C$3:$C$37,"Packing")</f>
        <v>2</v>
      </c>
      <c r="G25" s="61"/>
    </row>
    <row r="26" spans="1:7" ht="15" customHeight="1" x14ac:dyDescent="0.25">
      <c r="A26" s="61"/>
      <c r="B26" s="92" t="s">
        <v>477</v>
      </c>
      <c r="C26" s="177">
        <f>SUMIFS(Time_Hours,Time_Dept,"Delivery")+SUMIFS(Time_Overtime,Time_Dept,"Delivery")</f>
        <v>0</v>
      </c>
      <c r="D26" s="104">
        <f>SUMIFS(Time_Cost,Time_Dept,"Delivery")</f>
        <v>0</v>
      </c>
      <c r="E26" s="104">
        <f>SUMIFS(Payroll!$M$3:$M$37,Payroll!$C$3:$C$37,"Delivery")</f>
        <v>3634.3999999999996</v>
      </c>
      <c r="F26" s="143">
        <f>COUNTIFS(Payroll!$C$3:$C$37,"Delivery")</f>
        <v>2</v>
      </c>
      <c r="G26" s="61"/>
    </row>
    <row r="27" spans="1:7" ht="15" customHeight="1" x14ac:dyDescent="0.25">
      <c r="A27" s="61"/>
      <c r="B27" s="92" t="s">
        <v>478</v>
      </c>
      <c r="C27" s="177">
        <f>SUMIFS(Time_Hours,Time_Dept,"Installation")+SUMIFS(Time_Overtime,Time_Dept,"Installation")</f>
        <v>10.5</v>
      </c>
      <c r="D27" s="104">
        <f>SUMIFS(Time_Cost,Time_Dept,"Installation")</f>
        <v>112.5</v>
      </c>
      <c r="E27" s="104">
        <f>SUMIFS(Payroll!$M$3:$M$37,Payroll!$C$3:$C$37,"Installation")</f>
        <v>8382.7200000000012</v>
      </c>
      <c r="F27" s="143">
        <f>COUNTIFS(Payroll!$C$3:$C$37,"Installation")</f>
        <v>4</v>
      </c>
      <c r="G27" s="61"/>
    </row>
    <row r="28" spans="1:7" ht="15" customHeight="1" x14ac:dyDescent="0.25">
      <c r="A28" s="61"/>
      <c r="B28" s="92" t="s">
        <v>527</v>
      </c>
      <c r="C28" s="177">
        <f>SUMIFS(Time_Hours,Time_Dept,"Management")+SUMIFS(Time_Overtime,Time_Dept,"Management")</f>
        <v>0</v>
      </c>
      <c r="D28" s="104">
        <f>SUMIFS(Time_Cost,Time_Dept,"Management")</f>
        <v>0</v>
      </c>
      <c r="E28" s="104">
        <f>SUMIFS(Payroll!$M$3:$M$37,Payroll!$C$3:$C$37,"Management")</f>
        <v>7080</v>
      </c>
      <c r="F28" s="143">
        <f>COUNTIFS(Payroll!$C$3:$C$37,"Management")</f>
        <v>2</v>
      </c>
      <c r="G28" s="61"/>
    </row>
    <row r="29" spans="1:7" ht="15" customHeight="1" x14ac:dyDescent="0.25">
      <c r="A29" s="61"/>
      <c r="B29" s="176" t="s">
        <v>794</v>
      </c>
      <c r="C29" s="178">
        <f>SUM(C17:C28)</f>
        <v>41.5</v>
      </c>
      <c r="D29" s="131">
        <f>SUM(D17:D28)</f>
        <v>391.5</v>
      </c>
      <c r="E29" s="131">
        <f>SUM(E17:E28)</f>
        <v>70708.432000000001</v>
      </c>
      <c r="F29" s="151">
        <f>SUM(F17:F28)</f>
        <v>35</v>
      </c>
      <c r="G29" s="61"/>
    </row>
    <row r="30" spans="1:7" x14ac:dyDescent="0.25">
      <c r="A30" s="61"/>
      <c r="B30" s="61"/>
      <c r="C30" s="61"/>
      <c r="D30" s="61"/>
      <c r="E30" s="61"/>
      <c r="F30" s="61"/>
      <c r="G30" s="61"/>
    </row>
    <row r="31" spans="1:7" x14ac:dyDescent="0.25">
      <c r="A31" s="61"/>
      <c r="B31" s="61"/>
      <c r="C31" s="61"/>
      <c r="D31" s="61"/>
      <c r="E31" s="61"/>
      <c r="F31" s="61"/>
      <c r="G31" s="61"/>
    </row>
    <row r="32" spans="1:7" ht="15" customHeight="1" x14ac:dyDescent="0.25">
      <c r="A32" s="61"/>
      <c r="B32" s="111" t="s">
        <v>1179</v>
      </c>
      <c r="C32" s="111"/>
      <c r="D32" s="111"/>
      <c r="E32" s="111"/>
      <c r="F32" s="111"/>
      <c r="G32" s="61"/>
    </row>
    <row r="33" spans="1:7" ht="15" customHeight="1" x14ac:dyDescent="0.25">
      <c r="A33" s="61"/>
      <c r="B33" s="72" t="s">
        <v>1180</v>
      </c>
      <c r="C33" s="61"/>
      <c r="D33" s="61"/>
      <c r="E33" s="61"/>
      <c r="F33" s="179">
        <f ca="1">COUNTIFS(Project_Statuses,"Delayed")+SUMPRODUCT((Project_Deadline&lt;TODAY())*(Project_Deadline&lt;&gt;"")*(Project_Statuses&lt;&gt;"")*(Project_Statuses&lt;&gt;"Completed")*(Project_Statuses&lt;&gt;"Cancelled")*(Project_Statuses&lt;&gt;"Delayed"))</f>
        <v>11</v>
      </c>
      <c r="G33" s="61"/>
    </row>
    <row r="34" spans="1:7" x14ac:dyDescent="0.25">
      <c r="A34" s="61"/>
      <c r="B34" s="61"/>
      <c r="C34" s="61"/>
      <c r="D34" s="61"/>
      <c r="E34" s="61"/>
      <c r="F34" s="61"/>
      <c r="G34" s="61"/>
    </row>
    <row r="35" spans="1:7" ht="15" customHeight="1" x14ac:dyDescent="0.25">
      <c r="A35" s="61"/>
      <c r="B35" s="111" t="s">
        <v>1181</v>
      </c>
      <c r="C35" s="111"/>
      <c r="D35" s="111"/>
      <c r="E35" s="111"/>
      <c r="F35" s="111"/>
      <c r="G35" s="61"/>
    </row>
    <row r="36" spans="1:7" ht="15" customHeight="1" x14ac:dyDescent="0.25">
      <c r="A36" s="61"/>
      <c r="B36" s="72" t="s">
        <v>1182</v>
      </c>
      <c r="C36" s="61"/>
      <c r="D36" s="61"/>
      <c r="E36" s="61"/>
      <c r="F36" s="180">
        <f ca="1">COUNTIFS(Logistics_Type,"Delivery",Logistics_Dates,"&gt;="&amp;TODAY(),Logistics_Dates,"&lt;="&amp;TODAY()+14,Logistics_Status,"&lt;&gt;Completed")</f>
        <v>0</v>
      </c>
      <c r="G36" s="61"/>
    </row>
    <row r="37" spans="1:7" ht="15" customHeight="1" x14ac:dyDescent="0.25">
      <c r="A37" s="61"/>
      <c r="B37" s="72" t="s">
        <v>1183</v>
      </c>
      <c r="C37" s="61"/>
      <c r="D37" s="61"/>
      <c r="E37" s="61"/>
      <c r="F37" s="180">
        <f ca="1">COUNTIFS(Logistics_Type,"Installation",Logistics_Dates,"&gt;="&amp;TODAY(),Logistics_Dates,"&lt;="&amp;TODAY()+14,Logistics_Status,"&lt;&gt;Completed")</f>
        <v>0</v>
      </c>
      <c r="G37" s="61"/>
    </row>
    <row r="38" spans="1:7" x14ac:dyDescent="0.25">
      <c r="A38" s="61"/>
      <c r="B38" s="61"/>
      <c r="C38" s="61"/>
      <c r="D38" s="61"/>
      <c r="E38" s="61"/>
      <c r="F38" s="61"/>
      <c r="G38" s="61"/>
    </row>
    <row r="39" spans="1:7" ht="15" customHeight="1" x14ac:dyDescent="0.25">
      <c r="A39" s="61"/>
      <c r="B39" s="111" t="s">
        <v>1184</v>
      </c>
      <c r="C39" s="111"/>
      <c r="D39" s="111"/>
      <c r="E39" s="111"/>
      <c r="F39" s="111"/>
      <c r="G39" s="61"/>
    </row>
    <row r="40" spans="1:7" ht="15" customHeight="1" x14ac:dyDescent="0.25">
      <c r="A40" s="61"/>
      <c r="B40" s="72" t="s">
        <v>1185</v>
      </c>
      <c r="C40" s="61"/>
      <c r="D40" s="61"/>
      <c r="E40" s="61"/>
      <c r="F40" s="165">
        <f ca="1">SUMPRODUCT((MONTH(Project_List!$I$3:$I$102)=MONTH(TODAY()))*(YEAR(Project_List!$I$3:$I$102)=YEAR(TODAY()))*Project_Quoted)</f>
        <v>0</v>
      </c>
      <c r="G40" s="61"/>
    </row>
    <row r="41" spans="1:7" ht="15" customHeight="1" x14ac:dyDescent="0.25">
      <c r="A41" s="61"/>
      <c r="B41" s="72" t="s">
        <v>1186</v>
      </c>
      <c r="C41" s="61"/>
      <c r="D41" s="61"/>
      <c r="E41" s="61"/>
      <c r="F41" s="165">
        <f ca="1">SUMPRODUCT((MONTH(Project_List!$I$3:$I$102)=MONTH(TODAY()))*(YEAR(Project_List!$I$3:$I$102)=YEAR(TODAY()))*Project_Cost)</f>
        <v>0</v>
      </c>
      <c r="G41" s="61"/>
    </row>
    <row r="42" spans="1:7" ht="15" customHeight="1" x14ac:dyDescent="0.25">
      <c r="A42" s="61"/>
      <c r="B42" s="72" t="s">
        <v>1187</v>
      </c>
      <c r="C42" s="61"/>
      <c r="D42" s="61"/>
      <c r="E42" s="61"/>
      <c r="F42" s="122">
        <f ca="1">F40-F41</f>
        <v>0</v>
      </c>
      <c r="G42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6">
    <mergeCell ref="B39:F39"/>
    <mergeCell ref="A1:F1"/>
    <mergeCell ref="B3:F3"/>
    <mergeCell ref="B15:F15"/>
    <mergeCell ref="B32:F32"/>
    <mergeCell ref="B35:F35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843C0C"/>
  </sheetPr>
  <dimension ref="A1:L2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24" customWidth="1"/>
    <col min="3" max="3" width="18" customWidth="1"/>
    <col min="4" max="6" width="14" customWidth="1"/>
    <col min="7" max="7" width="16" customWidth="1"/>
    <col min="8" max="9" width="14" customWidth="1"/>
    <col min="10" max="10" width="16" customWidth="1"/>
    <col min="11" max="11" width="14" customWidth="1"/>
    <col min="12" max="12" width="22" customWidth="1"/>
  </cols>
  <sheetData>
    <row r="1" spans="1:12" ht="17.25" customHeight="1" x14ac:dyDescent="0.25">
      <c r="A1" s="60" t="s">
        <v>1188</v>
      </c>
      <c r="B1" s="61"/>
      <c r="C1" s="61"/>
      <c r="D1" s="61"/>
      <c r="E1" s="61"/>
      <c r="F1" s="133" t="s">
        <v>1189</v>
      </c>
      <c r="G1" s="61"/>
      <c r="H1" s="159" t="s">
        <v>1190</v>
      </c>
      <c r="I1" s="175">
        <f ca="1">COUNTIF(H3:H202,"Active")</f>
        <v>10</v>
      </c>
      <c r="J1" s="159" t="s">
        <v>1191</v>
      </c>
      <c r="K1" s="175">
        <f ca="1">COUNTIF(H3:H202,"Expiring_soon")</f>
        <v>0</v>
      </c>
      <c r="L1" s="61"/>
    </row>
    <row r="2" spans="1:12" ht="27.75" customHeight="1" x14ac:dyDescent="0.25">
      <c r="A2" s="63" t="s">
        <v>614</v>
      </c>
      <c r="B2" s="63" t="s">
        <v>19</v>
      </c>
      <c r="C2" s="63" t="s">
        <v>217</v>
      </c>
      <c r="D2" s="63" t="s">
        <v>1192</v>
      </c>
      <c r="E2" s="63" t="s">
        <v>1193</v>
      </c>
      <c r="F2" s="63" t="s">
        <v>1194</v>
      </c>
      <c r="G2" s="63" t="s">
        <v>1195</v>
      </c>
      <c r="H2" s="63" t="s">
        <v>23</v>
      </c>
      <c r="I2" s="63" t="s">
        <v>1196</v>
      </c>
      <c r="J2" s="63" t="s">
        <v>1197</v>
      </c>
      <c r="K2" s="63" t="s">
        <v>1198</v>
      </c>
      <c r="L2" s="63" t="s">
        <v>226</v>
      </c>
    </row>
    <row r="3" spans="1:12" ht="15" customHeight="1" x14ac:dyDescent="0.25">
      <c r="A3" s="64" t="s">
        <v>1199</v>
      </c>
      <c r="B3" s="64" t="s">
        <v>1200</v>
      </c>
      <c r="C3" s="64" t="s">
        <v>1201</v>
      </c>
      <c r="D3" s="65">
        <v>45884</v>
      </c>
      <c r="E3" s="64">
        <v>24</v>
      </c>
      <c r="F3" s="181">
        <f t="shared" ref="F3:F34" si="0">IFERROR(IF(OR(D3="",E3=""),"",EDATE(D3,E3)),"")</f>
        <v>46614</v>
      </c>
      <c r="G3" s="182">
        <f t="shared" ref="G3:G34" ca="1" si="1">IFERROR(IF(F3="","",F3-TODAY()),"")</f>
        <v>403</v>
      </c>
      <c r="H3" s="183" t="str">
        <f t="shared" ref="H3:H34" ca="1" si="2">IFERROR(IF(G3="","",IF(G3&lt;0,"Expired",IF(G3&lt;60,"Expiring_soon","Active"))),"")</f>
        <v>Active</v>
      </c>
      <c r="I3" s="65"/>
      <c r="J3" s="64"/>
      <c r="K3" s="64"/>
      <c r="L3" s="64"/>
    </row>
    <row r="4" spans="1:12" ht="15" customHeight="1" x14ac:dyDescent="0.25">
      <c r="A4" s="64" t="s">
        <v>1202</v>
      </c>
      <c r="B4" s="64" t="s">
        <v>1203</v>
      </c>
      <c r="C4" s="64" t="s">
        <v>1204</v>
      </c>
      <c r="D4" s="65">
        <v>45920</v>
      </c>
      <c r="E4" s="64">
        <v>24</v>
      </c>
      <c r="F4" s="181">
        <f t="shared" si="0"/>
        <v>46650</v>
      </c>
      <c r="G4" s="182">
        <f t="shared" ca="1" si="1"/>
        <v>439</v>
      </c>
      <c r="H4" s="183" t="str">
        <f t="shared" ca="1" si="2"/>
        <v>Active</v>
      </c>
      <c r="I4" s="65"/>
      <c r="J4" s="64"/>
      <c r="K4" s="64"/>
      <c r="L4" s="64"/>
    </row>
    <row r="5" spans="1:12" ht="15" customHeight="1" x14ac:dyDescent="0.25">
      <c r="A5" s="64" t="s">
        <v>1205</v>
      </c>
      <c r="B5" s="64" t="s">
        <v>1206</v>
      </c>
      <c r="C5" s="64" t="s">
        <v>1207</v>
      </c>
      <c r="D5" s="65">
        <v>45940</v>
      </c>
      <c r="E5" s="64">
        <v>12</v>
      </c>
      <c r="F5" s="181">
        <f t="shared" si="0"/>
        <v>46305</v>
      </c>
      <c r="G5" s="182">
        <f t="shared" ca="1" si="1"/>
        <v>94</v>
      </c>
      <c r="H5" s="183" t="str">
        <f t="shared" ca="1" si="2"/>
        <v>Active</v>
      </c>
      <c r="I5" s="65"/>
      <c r="J5" s="64"/>
      <c r="K5" s="64"/>
      <c r="L5" s="64"/>
    </row>
    <row r="6" spans="1:12" ht="15" customHeight="1" x14ac:dyDescent="0.25">
      <c r="A6" s="64" t="s">
        <v>1208</v>
      </c>
      <c r="B6" s="64" t="s">
        <v>1209</v>
      </c>
      <c r="C6" s="64" t="s">
        <v>1210</v>
      </c>
      <c r="D6" s="65">
        <v>45966</v>
      </c>
      <c r="E6" s="64">
        <v>24</v>
      </c>
      <c r="F6" s="181">
        <f t="shared" si="0"/>
        <v>46696</v>
      </c>
      <c r="G6" s="182">
        <f t="shared" ca="1" si="1"/>
        <v>485</v>
      </c>
      <c r="H6" s="183" t="str">
        <f t="shared" ca="1" si="2"/>
        <v>Active</v>
      </c>
      <c r="I6" s="65"/>
      <c r="J6" s="64"/>
      <c r="K6" s="64"/>
      <c r="L6" s="64"/>
    </row>
    <row r="7" spans="1:12" ht="15" customHeight="1" x14ac:dyDescent="0.25">
      <c r="A7" s="64" t="s">
        <v>1211</v>
      </c>
      <c r="B7" s="64" t="s">
        <v>1212</v>
      </c>
      <c r="C7" s="64" t="s">
        <v>1213</v>
      </c>
      <c r="D7" s="65">
        <v>45992</v>
      </c>
      <c r="E7" s="64">
        <v>24</v>
      </c>
      <c r="F7" s="181">
        <f t="shared" si="0"/>
        <v>46722</v>
      </c>
      <c r="G7" s="182">
        <f t="shared" ca="1" si="1"/>
        <v>511</v>
      </c>
      <c r="H7" s="183" t="str">
        <f t="shared" ca="1" si="2"/>
        <v>Active</v>
      </c>
      <c r="I7" s="65"/>
      <c r="J7" s="64"/>
      <c r="K7" s="64"/>
      <c r="L7" s="64"/>
    </row>
    <row r="8" spans="1:12" ht="15" customHeight="1" x14ac:dyDescent="0.25">
      <c r="A8" s="64" t="s">
        <v>1214</v>
      </c>
      <c r="B8" s="64" t="s">
        <v>1215</v>
      </c>
      <c r="C8" s="64" t="s">
        <v>1216</v>
      </c>
      <c r="D8" s="65">
        <v>46009</v>
      </c>
      <c r="E8" s="64">
        <v>12</v>
      </c>
      <c r="F8" s="181">
        <f t="shared" si="0"/>
        <v>46374</v>
      </c>
      <c r="G8" s="182">
        <f t="shared" ca="1" si="1"/>
        <v>163</v>
      </c>
      <c r="H8" s="183" t="str">
        <f t="shared" ca="1" si="2"/>
        <v>Active</v>
      </c>
      <c r="I8" s="65"/>
      <c r="J8" s="64"/>
      <c r="K8" s="64"/>
      <c r="L8" s="64"/>
    </row>
    <row r="9" spans="1:12" ht="15" customHeight="1" x14ac:dyDescent="0.25">
      <c r="A9" s="64" t="s">
        <v>1217</v>
      </c>
      <c r="B9" s="64" t="s">
        <v>1218</v>
      </c>
      <c r="C9" s="64" t="s">
        <v>1219</v>
      </c>
      <c r="D9" s="65">
        <v>46034</v>
      </c>
      <c r="E9" s="64">
        <v>24</v>
      </c>
      <c r="F9" s="181">
        <f t="shared" si="0"/>
        <v>46764</v>
      </c>
      <c r="G9" s="182">
        <f t="shared" ca="1" si="1"/>
        <v>553</v>
      </c>
      <c r="H9" s="183" t="str">
        <f t="shared" ca="1" si="2"/>
        <v>Active</v>
      </c>
      <c r="I9" s="65"/>
      <c r="J9" s="64"/>
      <c r="K9" s="64"/>
      <c r="L9" s="64"/>
    </row>
    <row r="10" spans="1:12" ht="15" customHeight="1" x14ac:dyDescent="0.25">
      <c r="A10" s="64" t="s">
        <v>1220</v>
      </c>
      <c r="B10" s="64" t="s">
        <v>1221</v>
      </c>
      <c r="C10" s="64" t="s">
        <v>1222</v>
      </c>
      <c r="D10" s="65">
        <v>46061</v>
      </c>
      <c r="E10" s="64">
        <v>24</v>
      </c>
      <c r="F10" s="181">
        <f t="shared" si="0"/>
        <v>46791</v>
      </c>
      <c r="G10" s="182">
        <f t="shared" ca="1" si="1"/>
        <v>580</v>
      </c>
      <c r="H10" s="183" t="str">
        <f t="shared" ca="1" si="2"/>
        <v>Active</v>
      </c>
      <c r="I10" s="65"/>
      <c r="J10" s="64"/>
      <c r="K10" s="64"/>
      <c r="L10" s="64"/>
    </row>
    <row r="11" spans="1:12" ht="15" customHeight="1" x14ac:dyDescent="0.25">
      <c r="A11" s="64" t="s">
        <v>1223</v>
      </c>
      <c r="B11" s="64" t="s">
        <v>1224</v>
      </c>
      <c r="C11" s="64" t="s">
        <v>1225</v>
      </c>
      <c r="D11" s="65">
        <v>46078</v>
      </c>
      <c r="E11" s="64">
        <v>12</v>
      </c>
      <c r="F11" s="181">
        <f t="shared" si="0"/>
        <v>46443</v>
      </c>
      <c r="G11" s="182">
        <f t="shared" ca="1" si="1"/>
        <v>232</v>
      </c>
      <c r="H11" s="183" t="str">
        <f t="shared" ca="1" si="2"/>
        <v>Active</v>
      </c>
      <c r="I11" s="65"/>
      <c r="J11" s="64"/>
      <c r="K11" s="64"/>
      <c r="L11" s="64"/>
    </row>
    <row r="12" spans="1:12" ht="15" customHeight="1" x14ac:dyDescent="0.25">
      <c r="A12" s="64" t="s">
        <v>1226</v>
      </c>
      <c r="B12" s="64" t="s">
        <v>1227</v>
      </c>
      <c r="C12" s="64" t="s">
        <v>1228</v>
      </c>
      <c r="D12" s="65">
        <v>46095</v>
      </c>
      <c r="E12" s="64">
        <v>24</v>
      </c>
      <c r="F12" s="181">
        <f t="shared" si="0"/>
        <v>46826</v>
      </c>
      <c r="G12" s="182">
        <f t="shared" ca="1" si="1"/>
        <v>615</v>
      </c>
      <c r="H12" s="183" t="str">
        <f t="shared" ca="1" si="2"/>
        <v>Active</v>
      </c>
      <c r="I12" s="65"/>
      <c r="J12" s="64"/>
      <c r="K12" s="64"/>
      <c r="L12" s="64"/>
    </row>
    <row r="13" spans="1:12" ht="15" customHeight="1" x14ac:dyDescent="0.25">
      <c r="A13" s="64"/>
      <c r="B13" s="64"/>
      <c r="C13" s="64"/>
      <c r="D13" s="65"/>
      <c r="E13" s="64"/>
      <c r="F13" s="181" t="str">
        <f t="shared" si="0"/>
        <v/>
      </c>
      <c r="G13" s="182" t="str">
        <f t="shared" ca="1" si="1"/>
        <v/>
      </c>
      <c r="H13" s="183" t="str">
        <f t="shared" ca="1" si="2"/>
        <v/>
      </c>
      <c r="I13" s="65"/>
      <c r="J13" s="64"/>
      <c r="K13" s="64"/>
      <c r="L13" s="64"/>
    </row>
    <row r="14" spans="1:12" ht="15" customHeight="1" x14ac:dyDescent="0.25">
      <c r="A14" s="64"/>
      <c r="B14" s="64"/>
      <c r="C14" s="64"/>
      <c r="D14" s="65"/>
      <c r="E14" s="64"/>
      <c r="F14" s="181" t="str">
        <f t="shared" si="0"/>
        <v/>
      </c>
      <c r="G14" s="182" t="str">
        <f t="shared" ca="1" si="1"/>
        <v/>
      </c>
      <c r="H14" s="183" t="str">
        <f t="shared" ca="1" si="2"/>
        <v/>
      </c>
      <c r="I14" s="65"/>
      <c r="J14" s="64"/>
      <c r="K14" s="64"/>
      <c r="L14" s="64"/>
    </row>
    <row r="15" spans="1:12" ht="15" customHeight="1" x14ac:dyDescent="0.25">
      <c r="A15" s="64"/>
      <c r="B15" s="64"/>
      <c r="C15" s="64"/>
      <c r="D15" s="65"/>
      <c r="E15" s="64"/>
      <c r="F15" s="181" t="str">
        <f t="shared" si="0"/>
        <v/>
      </c>
      <c r="G15" s="182" t="str">
        <f t="shared" ca="1" si="1"/>
        <v/>
      </c>
      <c r="H15" s="183" t="str">
        <f t="shared" ca="1" si="2"/>
        <v/>
      </c>
      <c r="I15" s="65"/>
      <c r="J15" s="64"/>
      <c r="K15" s="64"/>
      <c r="L15" s="64"/>
    </row>
    <row r="16" spans="1:12" ht="15" customHeight="1" x14ac:dyDescent="0.25">
      <c r="A16" s="64"/>
      <c r="B16" s="64"/>
      <c r="C16" s="64"/>
      <c r="D16" s="65"/>
      <c r="E16" s="64"/>
      <c r="F16" s="181" t="str">
        <f t="shared" si="0"/>
        <v/>
      </c>
      <c r="G16" s="182" t="str">
        <f t="shared" ca="1" si="1"/>
        <v/>
      </c>
      <c r="H16" s="183" t="str">
        <f t="shared" ca="1" si="2"/>
        <v/>
      </c>
      <c r="I16" s="65"/>
      <c r="J16" s="64"/>
      <c r="K16" s="64"/>
      <c r="L16" s="64"/>
    </row>
    <row r="17" spans="1:12" ht="15" customHeight="1" x14ac:dyDescent="0.25">
      <c r="A17" s="64"/>
      <c r="B17" s="64"/>
      <c r="C17" s="64"/>
      <c r="D17" s="65"/>
      <c r="E17" s="64"/>
      <c r="F17" s="181" t="str">
        <f t="shared" si="0"/>
        <v/>
      </c>
      <c r="G17" s="182" t="str">
        <f t="shared" ca="1" si="1"/>
        <v/>
      </c>
      <c r="H17" s="183" t="str">
        <f t="shared" ca="1" si="2"/>
        <v/>
      </c>
      <c r="I17" s="65"/>
      <c r="J17" s="64"/>
      <c r="K17" s="64"/>
      <c r="L17" s="64"/>
    </row>
    <row r="18" spans="1:12" ht="15" customHeight="1" x14ac:dyDescent="0.25">
      <c r="A18" s="64"/>
      <c r="B18" s="64"/>
      <c r="C18" s="64"/>
      <c r="D18" s="65"/>
      <c r="E18" s="64"/>
      <c r="F18" s="181" t="str">
        <f t="shared" si="0"/>
        <v/>
      </c>
      <c r="G18" s="182" t="str">
        <f t="shared" ca="1" si="1"/>
        <v/>
      </c>
      <c r="H18" s="183" t="str">
        <f t="shared" ca="1" si="2"/>
        <v/>
      </c>
      <c r="I18" s="65"/>
      <c r="J18" s="64"/>
      <c r="K18" s="64"/>
      <c r="L18" s="64"/>
    </row>
    <row r="19" spans="1:12" ht="15" customHeight="1" x14ac:dyDescent="0.25">
      <c r="A19" s="64"/>
      <c r="B19" s="64"/>
      <c r="C19" s="64"/>
      <c r="D19" s="65"/>
      <c r="E19" s="64"/>
      <c r="F19" s="181" t="str">
        <f t="shared" si="0"/>
        <v/>
      </c>
      <c r="G19" s="182" t="str">
        <f t="shared" ca="1" si="1"/>
        <v/>
      </c>
      <c r="H19" s="183" t="str">
        <f t="shared" ca="1" si="2"/>
        <v/>
      </c>
      <c r="I19" s="65"/>
      <c r="J19" s="64"/>
      <c r="K19" s="64"/>
      <c r="L19" s="64"/>
    </row>
    <row r="20" spans="1:12" ht="15" customHeight="1" x14ac:dyDescent="0.25">
      <c r="A20" s="64"/>
      <c r="B20" s="64"/>
      <c r="C20" s="64"/>
      <c r="D20" s="65"/>
      <c r="E20" s="64"/>
      <c r="F20" s="181" t="str">
        <f t="shared" si="0"/>
        <v/>
      </c>
      <c r="G20" s="182" t="str">
        <f t="shared" ca="1" si="1"/>
        <v/>
      </c>
      <c r="H20" s="183" t="str">
        <f t="shared" ca="1" si="2"/>
        <v/>
      </c>
      <c r="I20" s="65"/>
      <c r="J20" s="64"/>
      <c r="K20" s="64"/>
      <c r="L20" s="64"/>
    </row>
    <row r="21" spans="1:12" ht="15" customHeight="1" x14ac:dyDescent="0.25">
      <c r="A21" s="64"/>
      <c r="B21" s="64"/>
      <c r="C21" s="64"/>
      <c r="D21" s="65"/>
      <c r="E21" s="64"/>
      <c r="F21" s="181" t="str">
        <f t="shared" si="0"/>
        <v/>
      </c>
      <c r="G21" s="182" t="str">
        <f t="shared" ca="1" si="1"/>
        <v/>
      </c>
      <c r="H21" s="183" t="str">
        <f t="shared" ca="1" si="2"/>
        <v/>
      </c>
      <c r="I21" s="65"/>
      <c r="J21" s="64"/>
      <c r="K21" s="64"/>
      <c r="L21" s="64"/>
    </row>
    <row r="22" spans="1:12" ht="15" customHeight="1" x14ac:dyDescent="0.25">
      <c r="A22" s="64"/>
      <c r="B22" s="64"/>
      <c r="C22" s="64"/>
      <c r="D22" s="65"/>
      <c r="E22" s="64"/>
      <c r="F22" s="181" t="str">
        <f t="shared" si="0"/>
        <v/>
      </c>
      <c r="G22" s="182" t="str">
        <f t="shared" ca="1" si="1"/>
        <v/>
      </c>
      <c r="H22" s="183" t="str">
        <f t="shared" ca="1" si="2"/>
        <v/>
      </c>
      <c r="I22" s="65"/>
      <c r="J22" s="64"/>
      <c r="K22" s="64"/>
      <c r="L22" s="64"/>
    </row>
    <row r="23" spans="1:12" ht="15" customHeight="1" x14ac:dyDescent="0.25">
      <c r="A23" s="64"/>
      <c r="B23" s="64"/>
      <c r="C23" s="64"/>
      <c r="D23" s="65"/>
      <c r="E23" s="64"/>
      <c r="F23" s="181" t="str">
        <f t="shared" si="0"/>
        <v/>
      </c>
      <c r="G23" s="182" t="str">
        <f t="shared" ca="1" si="1"/>
        <v/>
      </c>
      <c r="H23" s="183" t="str">
        <f t="shared" ca="1" si="2"/>
        <v/>
      </c>
      <c r="I23" s="65"/>
      <c r="J23" s="64"/>
      <c r="K23" s="64"/>
      <c r="L23" s="64"/>
    </row>
    <row r="24" spans="1:12" ht="15" customHeight="1" x14ac:dyDescent="0.25">
      <c r="A24" s="64"/>
      <c r="B24" s="64"/>
      <c r="C24" s="64"/>
      <c r="D24" s="65"/>
      <c r="E24" s="64"/>
      <c r="F24" s="181" t="str">
        <f t="shared" si="0"/>
        <v/>
      </c>
      <c r="G24" s="182" t="str">
        <f t="shared" ca="1" si="1"/>
        <v/>
      </c>
      <c r="H24" s="183" t="str">
        <f t="shared" ca="1" si="2"/>
        <v/>
      </c>
      <c r="I24" s="65"/>
      <c r="J24" s="64"/>
      <c r="K24" s="64"/>
      <c r="L24" s="64"/>
    </row>
    <row r="25" spans="1:12" ht="15" customHeight="1" x14ac:dyDescent="0.25">
      <c r="A25" s="64"/>
      <c r="B25" s="64"/>
      <c r="C25" s="64"/>
      <c r="D25" s="65"/>
      <c r="E25" s="64"/>
      <c r="F25" s="181" t="str">
        <f t="shared" si="0"/>
        <v/>
      </c>
      <c r="G25" s="182" t="str">
        <f t="shared" ca="1" si="1"/>
        <v/>
      </c>
      <c r="H25" s="183" t="str">
        <f t="shared" ca="1" si="2"/>
        <v/>
      </c>
      <c r="I25" s="65"/>
      <c r="J25" s="64"/>
      <c r="K25" s="64"/>
      <c r="L25" s="64"/>
    </row>
    <row r="26" spans="1:12" ht="15" customHeight="1" x14ac:dyDescent="0.25">
      <c r="A26" s="64"/>
      <c r="B26" s="64"/>
      <c r="C26" s="64"/>
      <c r="D26" s="65"/>
      <c r="E26" s="64"/>
      <c r="F26" s="181" t="str">
        <f t="shared" si="0"/>
        <v/>
      </c>
      <c r="G26" s="182" t="str">
        <f t="shared" ca="1" si="1"/>
        <v/>
      </c>
      <c r="H26" s="183" t="str">
        <f t="shared" ca="1" si="2"/>
        <v/>
      </c>
      <c r="I26" s="65"/>
      <c r="J26" s="64"/>
      <c r="K26" s="64"/>
      <c r="L26" s="64"/>
    </row>
    <row r="27" spans="1:12" ht="15" customHeight="1" x14ac:dyDescent="0.25">
      <c r="A27" s="64"/>
      <c r="B27" s="64"/>
      <c r="C27" s="64"/>
      <c r="D27" s="65"/>
      <c r="E27" s="64"/>
      <c r="F27" s="181" t="str">
        <f t="shared" si="0"/>
        <v/>
      </c>
      <c r="G27" s="182" t="str">
        <f t="shared" ca="1" si="1"/>
        <v/>
      </c>
      <c r="H27" s="183" t="str">
        <f t="shared" ca="1" si="2"/>
        <v/>
      </c>
      <c r="I27" s="65"/>
      <c r="J27" s="64"/>
      <c r="K27" s="64"/>
      <c r="L27" s="64"/>
    </row>
    <row r="28" spans="1:12" ht="15" customHeight="1" x14ac:dyDescent="0.25">
      <c r="A28" s="64"/>
      <c r="B28" s="64"/>
      <c r="C28" s="64"/>
      <c r="D28" s="65"/>
      <c r="E28" s="64"/>
      <c r="F28" s="181" t="str">
        <f t="shared" si="0"/>
        <v/>
      </c>
      <c r="G28" s="182" t="str">
        <f t="shared" ca="1" si="1"/>
        <v/>
      </c>
      <c r="H28" s="183" t="str">
        <f t="shared" ca="1" si="2"/>
        <v/>
      </c>
      <c r="I28" s="65"/>
      <c r="J28" s="64"/>
      <c r="K28" s="64"/>
      <c r="L28" s="64"/>
    </row>
    <row r="29" spans="1:12" ht="15" customHeight="1" x14ac:dyDescent="0.25">
      <c r="A29" s="64"/>
      <c r="B29" s="64"/>
      <c r="C29" s="64"/>
      <c r="D29" s="65"/>
      <c r="E29" s="64"/>
      <c r="F29" s="181" t="str">
        <f t="shared" si="0"/>
        <v/>
      </c>
      <c r="G29" s="182" t="str">
        <f t="shared" ca="1" si="1"/>
        <v/>
      </c>
      <c r="H29" s="183" t="str">
        <f t="shared" ca="1" si="2"/>
        <v/>
      </c>
      <c r="I29" s="65"/>
      <c r="J29" s="64"/>
      <c r="K29" s="64"/>
      <c r="L29" s="64"/>
    </row>
    <row r="30" spans="1:12" ht="15" customHeight="1" x14ac:dyDescent="0.25">
      <c r="A30" s="64"/>
      <c r="B30" s="64"/>
      <c r="C30" s="64"/>
      <c r="D30" s="65"/>
      <c r="E30" s="64"/>
      <c r="F30" s="181" t="str">
        <f t="shared" si="0"/>
        <v/>
      </c>
      <c r="G30" s="182" t="str">
        <f t="shared" ca="1" si="1"/>
        <v/>
      </c>
      <c r="H30" s="183" t="str">
        <f t="shared" ca="1" si="2"/>
        <v/>
      </c>
      <c r="I30" s="65"/>
      <c r="J30" s="64"/>
      <c r="K30" s="64"/>
      <c r="L30" s="64"/>
    </row>
    <row r="31" spans="1:12" ht="15" customHeight="1" x14ac:dyDescent="0.25">
      <c r="A31" s="64"/>
      <c r="B31" s="64"/>
      <c r="C31" s="64"/>
      <c r="D31" s="65"/>
      <c r="E31" s="64"/>
      <c r="F31" s="181" t="str">
        <f t="shared" si="0"/>
        <v/>
      </c>
      <c r="G31" s="182" t="str">
        <f t="shared" ca="1" si="1"/>
        <v/>
      </c>
      <c r="H31" s="183" t="str">
        <f t="shared" ca="1" si="2"/>
        <v/>
      </c>
      <c r="I31" s="65"/>
      <c r="J31" s="64"/>
      <c r="K31" s="64"/>
      <c r="L31" s="64"/>
    </row>
    <row r="32" spans="1:12" ht="15" customHeight="1" x14ac:dyDescent="0.25">
      <c r="A32" s="64"/>
      <c r="B32" s="64"/>
      <c r="C32" s="64"/>
      <c r="D32" s="65"/>
      <c r="E32" s="64"/>
      <c r="F32" s="181" t="str">
        <f t="shared" si="0"/>
        <v/>
      </c>
      <c r="G32" s="182" t="str">
        <f t="shared" ca="1" si="1"/>
        <v/>
      </c>
      <c r="H32" s="183" t="str">
        <f t="shared" ca="1" si="2"/>
        <v/>
      </c>
      <c r="I32" s="65"/>
      <c r="J32" s="64"/>
      <c r="K32" s="64"/>
      <c r="L32" s="64"/>
    </row>
    <row r="33" spans="1:12" ht="15" customHeight="1" x14ac:dyDescent="0.25">
      <c r="A33" s="64"/>
      <c r="B33" s="64"/>
      <c r="C33" s="64"/>
      <c r="D33" s="65"/>
      <c r="E33" s="64"/>
      <c r="F33" s="181" t="str">
        <f t="shared" si="0"/>
        <v/>
      </c>
      <c r="G33" s="182" t="str">
        <f t="shared" ca="1" si="1"/>
        <v/>
      </c>
      <c r="H33" s="183" t="str">
        <f t="shared" ca="1" si="2"/>
        <v/>
      </c>
      <c r="I33" s="65"/>
      <c r="J33" s="64"/>
      <c r="K33" s="64"/>
      <c r="L33" s="64"/>
    </row>
    <row r="34" spans="1:12" ht="15" customHeight="1" x14ac:dyDescent="0.25">
      <c r="A34" s="64"/>
      <c r="B34" s="64"/>
      <c r="C34" s="64"/>
      <c r="D34" s="65"/>
      <c r="E34" s="64"/>
      <c r="F34" s="181" t="str">
        <f t="shared" si="0"/>
        <v/>
      </c>
      <c r="G34" s="182" t="str">
        <f t="shared" ca="1" si="1"/>
        <v/>
      </c>
      <c r="H34" s="183" t="str">
        <f t="shared" ca="1" si="2"/>
        <v/>
      </c>
      <c r="I34" s="65"/>
      <c r="J34" s="64"/>
      <c r="K34" s="64"/>
      <c r="L34" s="64"/>
    </row>
    <row r="35" spans="1:12" ht="15" customHeight="1" x14ac:dyDescent="0.25">
      <c r="A35" s="64"/>
      <c r="B35" s="64"/>
      <c r="C35" s="64"/>
      <c r="D35" s="65"/>
      <c r="E35" s="64"/>
      <c r="F35" s="181" t="str">
        <f t="shared" ref="F35:F66" si="3">IFERROR(IF(OR(D35="",E35=""),"",EDATE(D35,E35)),"")</f>
        <v/>
      </c>
      <c r="G35" s="182" t="str">
        <f t="shared" ref="G35:G66" ca="1" si="4">IFERROR(IF(F35="","",F35-TODAY()),"")</f>
        <v/>
      </c>
      <c r="H35" s="183" t="str">
        <f t="shared" ref="H35:H66" ca="1" si="5">IFERROR(IF(G35="","",IF(G35&lt;0,"Expired",IF(G35&lt;60,"Expiring_soon","Active"))),"")</f>
        <v/>
      </c>
      <c r="I35" s="65"/>
      <c r="J35" s="64"/>
      <c r="K35" s="64"/>
      <c r="L35" s="64"/>
    </row>
    <row r="36" spans="1:12" ht="15" customHeight="1" x14ac:dyDescent="0.25">
      <c r="A36" s="64"/>
      <c r="B36" s="64"/>
      <c r="C36" s="64"/>
      <c r="D36" s="65"/>
      <c r="E36" s="64"/>
      <c r="F36" s="181" t="str">
        <f t="shared" si="3"/>
        <v/>
      </c>
      <c r="G36" s="182" t="str">
        <f t="shared" ca="1" si="4"/>
        <v/>
      </c>
      <c r="H36" s="183" t="str">
        <f t="shared" ca="1" si="5"/>
        <v/>
      </c>
      <c r="I36" s="65"/>
      <c r="J36" s="64"/>
      <c r="K36" s="64"/>
      <c r="L36" s="64"/>
    </row>
    <row r="37" spans="1:12" ht="15" customHeight="1" x14ac:dyDescent="0.25">
      <c r="A37" s="64"/>
      <c r="B37" s="64"/>
      <c r="C37" s="64"/>
      <c r="D37" s="65"/>
      <c r="E37" s="64"/>
      <c r="F37" s="181" t="str">
        <f t="shared" si="3"/>
        <v/>
      </c>
      <c r="G37" s="182" t="str">
        <f t="shared" ca="1" si="4"/>
        <v/>
      </c>
      <c r="H37" s="183" t="str">
        <f t="shared" ca="1" si="5"/>
        <v/>
      </c>
      <c r="I37" s="65"/>
      <c r="J37" s="64"/>
      <c r="K37" s="64"/>
      <c r="L37" s="64"/>
    </row>
    <row r="38" spans="1:12" ht="15" customHeight="1" x14ac:dyDescent="0.25">
      <c r="A38" s="64"/>
      <c r="B38" s="64"/>
      <c r="C38" s="64"/>
      <c r="D38" s="65"/>
      <c r="E38" s="64"/>
      <c r="F38" s="181" t="str">
        <f t="shared" si="3"/>
        <v/>
      </c>
      <c r="G38" s="182" t="str">
        <f t="shared" ca="1" si="4"/>
        <v/>
      </c>
      <c r="H38" s="183" t="str">
        <f t="shared" ca="1" si="5"/>
        <v/>
      </c>
      <c r="I38" s="65"/>
      <c r="J38" s="64"/>
      <c r="K38" s="64"/>
      <c r="L38" s="64"/>
    </row>
    <row r="39" spans="1:12" ht="15" customHeight="1" x14ac:dyDescent="0.25">
      <c r="A39" s="64"/>
      <c r="B39" s="64"/>
      <c r="C39" s="64"/>
      <c r="D39" s="65"/>
      <c r="E39" s="64"/>
      <c r="F39" s="181" t="str">
        <f t="shared" si="3"/>
        <v/>
      </c>
      <c r="G39" s="182" t="str">
        <f t="shared" ca="1" si="4"/>
        <v/>
      </c>
      <c r="H39" s="183" t="str">
        <f t="shared" ca="1" si="5"/>
        <v/>
      </c>
      <c r="I39" s="65"/>
      <c r="J39" s="64"/>
      <c r="K39" s="64"/>
      <c r="L39" s="64"/>
    </row>
    <row r="40" spans="1:12" ht="15" customHeight="1" x14ac:dyDescent="0.25">
      <c r="A40" s="64"/>
      <c r="B40" s="64"/>
      <c r="C40" s="64"/>
      <c r="D40" s="65"/>
      <c r="E40" s="64"/>
      <c r="F40" s="181" t="str">
        <f t="shared" si="3"/>
        <v/>
      </c>
      <c r="G40" s="182" t="str">
        <f t="shared" ca="1" si="4"/>
        <v/>
      </c>
      <c r="H40" s="183" t="str">
        <f t="shared" ca="1" si="5"/>
        <v/>
      </c>
      <c r="I40" s="65"/>
      <c r="J40" s="64"/>
      <c r="K40" s="64"/>
      <c r="L40" s="64"/>
    </row>
    <row r="41" spans="1:12" ht="15" customHeight="1" x14ac:dyDescent="0.25">
      <c r="A41" s="64"/>
      <c r="B41" s="64"/>
      <c r="C41" s="64"/>
      <c r="D41" s="65"/>
      <c r="E41" s="64"/>
      <c r="F41" s="181" t="str">
        <f t="shared" si="3"/>
        <v/>
      </c>
      <c r="G41" s="182" t="str">
        <f t="shared" ca="1" si="4"/>
        <v/>
      </c>
      <c r="H41" s="183" t="str">
        <f t="shared" ca="1" si="5"/>
        <v/>
      </c>
      <c r="I41" s="65"/>
      <c r="J41" s="64"/>
      <c r="K41" s="64"/>
      <c r="L41" s="64"/>
    </row>
    <row r="42" spans="1:12" ht="15" customHeight="1" x14ac:dyDescent="0.25">
      <c r="A42" s="64"/>
      <c r="B42" s="64"/>
      <c r="C42" s="64"/>
      <c r="D42" s="65"/>
      <c r="E42" s="64"/>
      <c r="F42" s="181" t="str">
        <f t="shared" si="3"/>
        <v/>
      </c>
      <c r="G42" s="182" t="str">
        <f t="shared" ca="1" si="4"/>
        <v/>
      </c>
      <c r="H42" s="183" t="str">
        <f t="shared" ca="1" si="5"/>
        <v/>
      </c>
      <c r="I42" s="65"/>
      <c r="J42" s="64"/>
      <c r="K42" s="64"/>
      <c r="L42" s="64"/>
    </row>
    <row r="43" spans="1:12" ht="15" customHeight="1" x14ac:dyDescent="0.25">
      <c r="A43" s="64"/>
      <c r="B43" s="64"/>
      <c r="C43" s="64"/>
      <c r="D43" s="65"/>
      <c r="E43" s="64"/>
      <c r="F43" s="181" t="str">
        <f t="shared" si="3"/>
        <v/>
      </c>
      <c r="G43" s="182" t="str">
        <f t="shared" ca="1" si="4"/>
        <v/>
      </c>
      <c r="H43" s="183" t="str">
        <f t="shared" ca="1" si="5"/>
        <v/>
      </c>
      <c r="I43" s="65"/>
      <c r="J43" s="64"/>
      <c r="K43" s="64"/>
      <c r="L43" s="64"/>
    </row>
    <row r="44" spans="1:12" ht="15" customHeight="1" x14ac:dyDescent="0.25">
      <c r="A44" s="64"/>
      <c r="B44" s="64"/>
      <c r="C44" s="64"/>
      <c r="D44" s="65"/>
      <c r="E44" s="64"/>
      <c r="F44" s="181" t="str">
        <f t="shared" si="3"/>
        <v/>
      </c>
      <c r="G44" s="182" t="str">
        <f t="shared" ca="1" si="4"/>
        <v/>
      </c>
      <c r="H44" s="183" t="str">
        <f t="shared" ca="1" si="5"/>
        <v/>
      </c>
      <c r="I44" s="65"/>
      <c r="J44" s="64"/>
      <c r="K44" s="64"/>
      <c r="L44" s="64"/>
    </row>
    <row r="45" spans="1:12" ht="15" customHeight="1" x14ac:dyDescent="0.25">
      <c r="A45" s="64"/>
      <c r="B45" s="64"/>
      <c r="C45" s="64"/>
      <c r="D45" s="65"/>
      <c r="E45" s="64"/>
      <c r="F45" s="181" t="str">
        <f t="shared" si="3"/>
        <v/>
      </c>
      <c r="G45" s="182" t="str">
        <f t="shared" ca="1" si="4"/>
        <v/>
      </c>
      <c r="H45" s="183" t="str">
        <f t="shared" ca="1" si="5"/>
        <v/>
      </c>
      <c r="I45" s="65"/>
      <c r="J45" s="64"/>
      <c r="K45" s="64"/>
      <c r="L45" s="64"/>
    </row>
    <row r="46" spans="1:12" ht="15" customHeight="1" x14ac:dyDescent="0.25">
      <c r="A46" s="64"/>
      <c r="B46" s="64"/>
      <c r="C46" s="64"/>
      <c r="D46" s="65"/>
      <c r="E46" s="64"/>
      <c r="F46" s="181" t="str">
        <f t="shared" si="3"/>
        <v/>
      </c>
      <c r="G46" s="182" t="str">
        <f t="shared" ca="1" si="4"/>
        <v/>
      </c>
      <c r="H46" s="183" t="str">
        <f t="shared" ca="1" si="5"/>
        <v/>
      </c>
      <c r="I46" s="65"/>
      <c r="J46" s="64"/>
      <c r="K46" s="64"/>
      <c r="L46" s="64"/>
    </row>
    <row r="47" spans="1:12" ht="15" customHeight="1" x14ac:dyDescent="0.25">
      <c r="A47" s="64"/>
      <c r="B47" s="64"/>
      <c r="C47" s="64"/>
      <c r="D47" s="65"/>
      <c r="E47" s="64"/>
      <c r="F47" s="181" t="str">
        <f t="shared" si="3"/>
        <v/>
      </c>
      <c r="G47" s="182" t="str">
        <f t="shared" ca="1" si="4"/>
        <v/>
      </c>
      <c r="H47" s="183" t="str">
        <f t="shared" ca="1" si="5"/>
        <v/>
      </c>
      <c r="I47" s="65"/>
      <c r="J47" s="64"/>
      <c r="K47" s="64"/>
      <c r="L47" s="64"/>
    </row>
    <row r="48" spans="1:12" ht="15" customHeight="1" x14ac:dyDescent="0.25">
      <c r="A48" s="64"/>
      <c r="B48" s="64"/>
      <c r="C48" s="64"/>
      <c r="D48" s="65"/>
      <c r="E48" s="64"/>
      <c r="F48" s="181" t="str">
        <f t="shared" si="3"/>
        <v/>
      </c>
      <c r="G48" s="182" t="str">
        <f t="shared" ca="1" si="4"/>
        <v/>
      </c>
      <c r="H48" s="183" t="str">
        <f t="shared" ca="1" si="5"/>
        <v/>
      </c>
      <c r="I48" s="65"/>
      <c r="J48" s="64"/>
      <c r="K48" s="64"/>
      <c r="L48" s="64"/>
    </row>
    <row r="49" spans="1:12" ht="15" customHeight="1" x14ac:dyDescent="0.25">
      <c r="A49" s="64"/>
      <c r="B49" s="64"/>
      <c r="C49" s="64"/>
      <c r="D49" s="65"/>
      <c r="E49" s="64"/>
      <c r="F49" s="181" t="str">
        <f t="shared" si="3"/>
        <v/>
      </c>
      <c r="G49" s="182" t="str">
        <f t="shared" ca="1" si="4"/>
        <v/>
      </c>
      <c r="H49" s="183" t="str">
        <f t="shared" ca="1" si="5"/>
        <v/>
      </c>
      <c r="I49" s="65"/>
      <c r="J49" s="64"/>
      <c r="K49" s="64"/>
      <c r="L49" s="64"/>
    </row>
    <row r="50" spans="1:12" ht="15" customHeight="1" x14ac:dyDescent="0.25">
      <c r="A50" s="64"/>
      <c r="B50" s="64"/>
      <c r="C50" s="64"/>
      <c r="D50" s="65"/>
      <c r="E50" s="64"/>
      <c r="F50" s="181" t="str">
        <f t="shared" si="3"/>
        <v/>
      </c>
      <c r="G50" s="182" t="str">
        <f t="shared" ca="1" si="4"/>
        <v/>
      </c>
      <c r="H50" s="183" t="str">
        <f t="shared" ca="1" si="5"/>
        <v/>
      </c>
      <c r="I50" s="65"/>
      <c r="J50" s="64"/>
      <c r="K50" s="64"/>
      <c r="L50" s="64"/>
    </row>
    <row r="51" spans="1:12" ht="15" customHeight="1" x14ac:dyDescent="0.25">
      <c r="A51" s="64"/>
      <c r="B51" s="64"/>
      <c r="C51" s="64"/>
      <c r="D51" s="65"/>
      <c r="E51" s="64"/>
      <c r="F51" s="181" t="str">
        <f t="shared" si="3"/>
        <v/>
      </c>
      <c r="G51" s="182" t="str">
        <f t="shared" ca="1" si="4"/>
        <v/>
      </c>
      <c r="H51" s="183" t="str">
        <f t="shared" ca="1" si="5"/>
        <v/>
      </c>
      <c r="I51" s="65"/>
      <c r="J51" s="64"/>
      <c r="K51" s="64"/>
      <c r="L51" s="64"/>
    </row>
    <row r="52" spans="1:12" ht="15" customHeight="1" x14ac:dyDescent="0.25">
      <c r="A52" s="64"/>
      <c r="B52" s="64"/>
      <c r="C52" s="64"/>
      <c r="D52" s="65"/>
      <c r="E52" s="64"/>
      <c r="F52" s="181" t="str">
        <f t="shared" si="3"/>
        <v/>
      </c>
      <c r="G52" s="182" t="str">
        <f t="shared" ca="1" si="4"/>
        <v/>
      </c>
      <c r="H52" s="183" t="str">
        <f t="shared" ca="1" si="5"/>
        <v/>
      </c>
      <c r="I52" s="65"/>
      <c r="J52" s="64"/>
      <c r="K52" s="64"/>
      <c r="L52" s="64"/>
    </row>
    <row r="53" spans="1:12" ht="15" customHeight="1" x14ac:dyDescent="0.25">
      <c r="A53" s="64"/>
      <c r="B53" s="64"/>
      <c r="C53" s="64"/>
      <c r="D53" s="65"/>
      <c r="E53" s="64"/>
      <c r="F53" s="181" t="str">
        <f t="shared" si="3"/>
        <v/>
      </c>
      <c r="G53" s="182" t="str">
        <f t="shared" ca="1" si="4"/>
        <v/>
      </c>
      <c r="H53" s="183" t="str">
        <f t="shared" ca="1" si="5"/>
        <v/>
      </c>
      <c r="I53" s="65"/>
      <c r="J53" s="64"/>
      <c r="K53" s="64"/>
      <c r="L53" s="64"/>
    </row>
    <row r="54" spans="1:12" ht="15" customHeight="1" x14ac:dyDescent="0.25">
      <c r="A54" s="64"/>
      <c r="B54" s="64"/>
      <c r="C54" s="64"/>
      <c r="D54" s="65"/>
      <c r="E54" s="64"/>
      <c r="F54" s="181" t="str">
        <f t="shared" si="3"/>
        <v/>
      </c>
      <c r="G54" s="182" t="str">
        <f t="shared" ca="1" si="4"/>
        <v/>
      </c>
      <c r="H54" s="183" t="str">
        <f t="shared" ca="1" si="5"/>
        <v/>
      </c>
      <c r="I54" s="65"/>
      <c r="J54" s="64"/>
      <c r="K54" s="64"/>
      <c r="L54" s="64"/>
    </row>
    <row r="55" spans="1:12" ht="15" customHeight="1" x14ac:dyDescent="0.25">
      <c r="A55" s="64"/>
      <c r="B55" s="64"/>
      <c r="C55" s="64"/>
      <c r="D55" s="65"/>
      <c r="E55" s="64"/>
      <c r="F55" s="181" t="str">
        <f t="shared" si="3"/>
        <v/>
      </c>
      <c r="G55" s="182" t="str">
        <f t="shared" ca="1" si="4"/>
        <v/>
      </c>
      <c r="H55" s="183" t="str">
        <f t="shared" ca="1" si="5"/>
        <v/>
      </c>
      <c r="I55" s="65"/>
      <c r="J55" s="64"/>
      <c r="K55" s="64"/>
      <c r="L55" s="64"/>
    </row>
    <row r="56" spans="1:12" ht="15" customHeight="1" x14ac:dyDescent="0.25">
      <c r="A56" s="64"/>
      <c r="B56" s="64"/>
      <c r="C56" s="64"/>
      <c r="D56" s="65"/>
      <c r="E56" s="64"/>
      <c r="F56" s="181" t="str">
        <f t="shared" si="3"/>
        <v/>
      </c>
      <c r="G56" s="182" t="str">
        <f t="shared" ca="1" si="4"/>
        <v/>
      </c>
      <c r="H56" s="183" t="str">
        <f t="shared" ca="1" si="5"/>
        <v/>
      </c>
      <c r="I56" s="65"/>
      <c r="J56" s="64"/>
      <c r="K56" s="64"/>
      <c r="L56" s="64"/>
    </row>
    <row r="57" spans="1:12" ht="15" customHeight="1" x14ac:dyDescent="0.25">
      <c r="A57" s="64"/>
      <c r="B57" s="64"/>
      <c r="C57" s="64"/>
      <c r="D57" s="65"/>
      <c r="E57" s="64"/>
      <c r="F57" s="181" t="str">
        <f t="shared" si="3"/>
        <v/>
      </c>
      <c r="G57" s="182" t="str">
        <f t="shared" ca="1" si="4"/>
        <v/>
      </c>
      <c r="H57" s="183" t="str">
        <f t="shared" ca="1" si="5"/>
        <v/>
      </c>
      <c r="I57" s="65"/>
      <c r="J57" s="64"/>
      <c r="K57" s="64"/>
      <c r="L57" s="64"/>
    </row>
    <row r="58" spans="1:12" ht="15" customHeight="1" x14ac:dyDescent="0.25">
      <c r="A58" s="64"/>
      <c r="B58" s="64"/>
      <c r="C58" s="64"/>
      <c r="D58" s="65"/>
      <c r="E58" s="64"/>
      <c r="F58" s="181" t="str">
        <f t="shared" si="3"/>
        <v/>
      </c>
      <c r="G58" s="182" t="str">
        <f t="shared" ca="1" si="4"/>
        <v/>
      </c>
      <c r="H58" s="183" t="str">
        <f t="shared" ca="1" si="5"/>
        <v/>
      </c>
      <c r="I58" s="65"/>
      <c r="J58" s="64"/>
      <c r="K58" s="64"/>
      <c r="L58" s="64"/>
    </row>
    <row r="59" spans="1:12" ht="15" customHeight="1" x14ac:dyDescent="0.25">
      <c r="A59" s="64"/>
      <c r="B59" s="64"/>
      <c r="C59" s="64"/>
      <c r="D59" s="65"/>
      <c r="E59" s="64"/>
      <c r="F59" s="181" t="str">
        <f t="shared" si="3"/>
        <v/>
      </c>
      <c r="G59" s="182" t="str">
        <f t="shared" ca="1" si="4"/>
        <v/>
      </c>
      <c r="H59" s="183" t="str">
        <f t="shared" ca="1" si="5"/>
        <v/>
      </c>
      <c r="I59" s="65"/>
      <c r="J59" s="64"/>
      <c r="K59" s="64"/>
      <c r="L59" s="64"/>
    </row>
    <row r="60" spans="1:12" ht="15" customHeight="1" x14ac:dyDescent="0.25">
      <c r="A60" s="64"/>
      <c r="B60" s="64"/>
      <c r="C60" s="64"/>
      <c r="D60" s="65"/>
      <c r="E60" s="64"/>
      <c r="F60" s="181" t="str">
        <f t="shared" si="3"/>
        <v/>
      </c>
      <c r="G60" s="182" t="str">
        <f t="shared" ca="1" si="4"/>
        <v/>
      </c>
      <c r="H60" s="183" t="str">
        <f t="shared" ca="1" si="5"/>
        <v/>
      </c>
      <c r="I60" s="65"/>
      <c r="J60" s="64"/>
      <c r="K60" s="64"/>
      <c r="L60" s="64"/>
    </row>
    <row r="61" spans="1:12" ht="15" customHeight="1" x14ac:dyDescent="0.25">
      <c r="A61" s="64"/>
      <c r="B61" s="64"/>
      <c r="C61" s="64"/>
      <c r="D61" s="65"/>
      <c r="E61" s="64"/>
      <c r="F61" s="181" t="str">
        <f t="shared" si="3"/>
        <v/>
      </c>
      <c r="G61" s="182" t="str">
        <f t="shared" ca="1" si="4"/>
        <v/>
      </c>
      <c r="H61" s="183" t="str">
        <f t="shared" ca="1" si="5"/>
        <v/>
      </c>
      <c r="I61" s="65"/>
      <c r="J61" s="64"/>
      <c r="K61" s="64"/>
      <c r="L61" s="64"/>
    </row>
    <row r="62" spans="1:12" ht="15" customHeight="1" x14ac:dyDescent="0.25">
      <c r="A62" s="64"/>
      <c r="B62" s="64"/>
      <c r="C62" s="64"/>
      <c r="D62" s="65"/>
      <c r="E62" s="64"/>
      <c r="F62" s="181" t="str">
        <f t="shared" si="3"/>
        <v/>
      </c>
      <c r="G62" s="182" t="str">
        <f t="shared" ca="1" si="4"/>
        <v/>
      </c>
      <c r="H62" s="183" t="str">
        <f t="shared" ca="1" si="5"/>
        <v/>
      </c>
      <c r="I62" s="65"/>
      <c r="J62" s="64"/>
      <c r="K62" s="64"/>
      <c r="L62" s="64"/>
    </row>
    <row r="63" spans="1:12" ht="15" customHeight="1" x14ac:dyDescent="0.25">
      <c r="A63" s="64"/>
      <c r="B63" s="64"/>
      <c r="C63" s="64"/>
      <c r="D63" s="65"/>
      <c r="E63" s="64"/>
      <c r="F63" s="181" t="str">
        <f t="shared" si="3"/>
        <v/>
      </c>
      <c r="G63" s="182" t="str">
        <f t="shared" ca="1" si="4"/>
        <v/>
      </c>
      <c r="H63" s="183" t="str">
        <f t="shared" ca="1" si="5"/>
        <v/>
      </c>
      <c r="I63" s="65"/>
      <c r="J63" s="64"/>
      <c r="K63" s="64"/>
      <c r="L63" s="64"/>
    </row>
    <row r="64" spans="1:12" ht="15" customHeight="1" x14ac:dyDescent="0.25">
      <c r="A64" s="64"/>
      <c r="B64" s="64"/>
      <c r="C64" s="64"/>
      <c r="D64" s="65"/>
      <c r="E64" s="64"/>
      <c r="F64" s="181" t="str">
        <f t="shared" si="3"/>
        <v/>
      </c>
      <c r="G64" s="182" t="str">
        <f t="shared" ca="1" si="4"/>
        <v/>
      </c>
      <c r="H64" s="183" t="str">
        <f t="shared" ca="1" si="5"/>
        <v/>
      </c>
      <c r="I64" s="65"/>
      <c r="J64" s="64"/>
      <c r="K64" s="64"/>
      <c r="L64" s="64"/>
    </row>
    <row r="65" spans="1:12" ht="15" customHeight="1" x14ac:dyDescent="0.25">
      <c r="A65" s="64"/>
      <c r="B65" s="64"/>
      <c r="C65" s="64"/>
      <c r="D65" s="65"/>
      <c r="E65" s="64"/>
      <c r="F65" s="181" t="str">
        <f t="shared" si="3"/>
        <v/>
      </c>
      <c r="G65" s="182" t="str">
        <f t="shared" ca="1" si="4"/>
        <v/>
      </c>
      <c r="H65" s="183" t="str">
        <f t="shared" ca="1" si="5"/>
        <v/>
      </c>
      <c r="I65" s="65"/>
      <c r="J65" s="64"/>
      <c r="K65" s="64"/>
      <c r="L65" s="64"/>
    </row>
    <row r="66" spans="1:12" ht="15" customHeight="1" x14ac:dyDescent="0.25">
      <c r="A66" s="64"/>
      <c r="B66" s="64"/>
      <c r="C66" s="64"/>
      <c r="D66" s="65"/>
      <c r="E66" s="64"/>
      <c r="F66" s="181" t="str">
        <f t="shared" si="3"/>
        <v/>
      </c>
      <c r="G66" s="182" t="str">
        <f t="shared" ca="1" si="4"/>
        <v/>
      </c>
      <c r="H66" s="183" t="str">
        <f t="shared" ca="1" si="5"/>
        <v/>
      </c>
      <c r="I66" s="65"/>
      <c r="J66" s="64"/>
      <c r="K66" s="64"/>
      <c r="L66" s="64"/>
    </row>
    <row r="67" spans="1:12" ht="15" customHeight="1" x14ac:dyDescent="0.25">
      <c r="A67" s="64"/>
      <c r="B67" s="64"/>
      <c r="C67" s="64"/>
      <c r="D67" s="65"/>
      <c r="E67" s="64"/>
      <c r="F67" s="181" t="str">
        <f t="shared" ref="F67:F98" si="6">IFERROR(IF(OR(D67="",E67=""),"",EDATE(D67,E67)),"")</f>
        <v/>
      </c>
      <c r="G67" s="182" t="str">
        <f t="shared" ref="G67:G98" ca="1" si="7">IFERROR(IF(F67="","",F67-TODAY()),"")</f>
        <v/>
      </c>
      <c r="H67" s="183" t="str">
        <f t="shared" ref="H67:H98" ca="1" si="8">IFERROR(IF(G67="","",IF(G67&lt;0,"Expired",IF(G67&lt;60,"Expiring_soon","Active"))),"")</f>
        <v/>
      </c>
      <c r="I67" s="65"/>
      <c r="J67" s="64"/>
      <c r="K67" s="64"/>
      <c r="L67" s="64"/>
    </row>
    <row r="68" spans="1:12" ht="15" customHeight="1" x14ac:dyDescent="0.25">
      <c r="A68" s="64"/>
      <c r="B68" s="64"/>
      <c r="C68" s="64"/>
      <c r="D68" s="65"/>
      <c r="E68" s="64"/>
      <c r="F68" s="181" t="str">
        <f t="shared" si="6"/>
        <v/>
      </c>
      <c r="G68" s="182" t="str">
        <f t="shared" ca="1" si="7"/>
        <v/>
      </c>
      <c r="H68" s="183" t="str">
        <f t="shared" ca="1" si="8"/>
        <v/>
      </c>
      <c r="I68" s="65"/>
      <c r="J68" s="64"/>
      <c r="K68" s="64"/>
      <c r="L68" s="64"/>
    </row>
    <row r="69" spans="1:12" ht="15" customHeight="1" x14ac:dyDescent="0.25">
      <c r="A69" s="64"/>
      <c r="B69" s="64"/>
      <c r="C69" s="64"/>
      <c r="D69" s="65"/>
      <c r="E69" s="64"/>
      <c r="F69" s="181" t="str">
        <f t="shared" si="6"/>
        <v/>
      </c>
      <c r="G69" s="182" t="str">
        <f t="shared" ca="1" si="7"/>
        <v/>
      </c>
      <c r="H69" s="183" t="str">
        <f t="shared" ca="1" si="8"/>
        <v/>
      </c>
      <c r="I69" s="65"/>
      <c r="J69" s="64"/>
      <c r="K69" s="64"/>
      <c r="L69" s="64"/>
    </row>
    <row r="70" spans="1:12" ht="15" customHeight="1" x14ac:dyDescent="0.25">
      <c r="A70" s="64"/>
      <c r="B70" s="64"/>
      <c r="C70" s="64"/>
      <c r="D70" s="65"/>
      <c r="E70" s="64"/>
      <c r="F70" s="181" t="str">
        <f t="shared" si="6"/>
        <v/>
      </c>
      <c r="G70" s="182" t="str">
        <f t="shared" ca="1" si="7"/>
        <v/>
      </c>
      <c r="H70" s="183" t="str">
        <f t="shared" ca="1" si="8"/>
        <v/>
      </c>
      <c r="I70" s="65"/>
      <c r="J70" s="64"/>
      <c r="K70" s="64"/>
      <c r="L70" s="64"/>
    </row>
    <row r="71" spans="1:12" ht="15" customHeight="1" x14ac:dyDescent="0.25">
      <c r="A71" s="64"/>
      <c r="B71" s="64"/>
      <c r="C71" s="64"/>
      <c r="D71" s="65"/>
      <c r="E71" s="64"/>
      <c r="F71" s="181" t="str">
        <f t="shared" si="6"/>
        <v/>
      </c>
      <c r="G71" s="182" t="str">
        <f t="shared" ca="1" si="7"/>
        <v/>
      </c>
      <c r="H71" s="183" t="str">
        <f t="shared" ca="1" si="8"/>
        <v/>
      </c>
      <c r="I71" s="65"/>
      <c r="J71" s="64"/>
      <c r="K71" s="64"/>
      <c r="L71" s="64"/>
    </row>
    <row r="72" spans="1:12" ht="15" customHeight="1" x14ac:dyDescent="0.25">
      <c r="A72" s="64"/>
      <c r="B72" s="64"/>
      <c r="C72" s="64"/>
      <c r="D72" s="65"/>
      <c r="E72" s="64"/>
      <c r="F72" s="181" t="str">
        <f t="shared" si="6"/>
        <v/>
      </c>
      <c r="G72" s="182" t="str">
        <f t="shared" ca="1" si="7"/>
        <v/>
      </c>
      <c r="H72" s="183" t="str">
        <f t="shared" ca="1" si="8"/>
        <v/>
      </c>
      <c r="I72" s="65"/>
      <c r="J72" s="64"/>
      <c r="K72" s="64"/>
      <c r="L72" s="64"/>
    </row>
    <row r="73" spans="1:12" ht="15" customHeight="1" x14ac:dyDescent="0.25">
      <c r="A73" s="64"/>
      <c r="B73" s="64"/>
      <c r="C73" s="64"/>
      <c r="D73" s="65"/>
      <c r="E73" s="64"/>
      <c r="F73" s="181" t="str">
        <f t="shared" si="6"/>
        <v/>
      </c>
      <c r="G73" s="182" t="str">
        <f t="shared" ca="1" si="7"/>
        <v/>
      </c>
      <c r="H73" s="183" t="str">
        <f t="shared" ca="1" si="8"/>
        <v/>
      </c>
      <c r="I73" s="65"/>
      <c r="J73" s="64"/>
      <c r="K73" s="64"/>
      <c r="L73" s="64"/>
    </row>
    <row r="74" spans="1:12" ht="15" customHeight="1" x14ac:dyDescent="0.25">
      <c r="A74" s="64"/>
      <c r="B74" s="64"/>
      <c r="C74" s="64"/>
      <c r="D74" s="65"/>
      <c r="E74" s="64"/>
      <c r="F74" s="181" t="str">
        <f t="shared" si="6"/>
        <v/>
      </c>
      <c r="G74" s="182" t="str">
        <f t="shared" ca="1" si="7"/>
        <v/>
      </c>
      <c r="H74" s="183" t="str">
        <f t="shared" ca="1" si="8"/>
        <v/>
      </c>
      <c r="I74" s="65"/>
      <c r="J74" s="64"/>
      <c r="K74" s="64"/>
      <c r="L74" s="64"/>
    </row>
    <row r="75" spans="1:12" ht="15" customHeight="1" x14ac:dyDescent="0.25">
      <c r="A75" s="64"/>
      <c r="B75" s="64"/>
      <c r="C75" s="64"/>
      <c r="D75" s="65"/>
      <c r="E75" s="64"/>
      <c r="F75" s="181" t="str">
        <f t="shared" si="6"/>
        <v/>
      </c>
      <c r="G75" s="182" t="str">
        <f t="shared" ca="1" si="7"/>
        <v/>
      </c>
      <c r="H75" s="183" t="str">
        <f t="shared" ca="1" si="8"/>
        <v/>
      </c>
      <c r="I75" s="65"/>
      <c r="J75" s="64"/>
      <c r="K75" s="64"/>
      <c r="L75" s="64"/>
    </row>
    <row r="76" spans="1:12" ht="15" customHeight="1" x14ac:dyDescent="0.25">
      <c r="A76" s="64"/>
      <c r="B76" s="64"/>
      <c r="C76" s="64"/>
      <c r="D76" s="65"/>
      <c r="E76" s="64"/>
      <c r="F76" s="181" t="str">
        <f t="shared" si="6"/>
        <v/>
      </c>
      <c r="G76" s="182" t="str">
        <f t="shared" ca="1" si="7"/>
        <v/>
      </c>
      <c r="H76" s="183" t="str">
        <f t="shared" ca="1" si="8"/>
        <v/>
      </c>
      <c r="I76" s="65"/>
      <c r="J76" s="64"/>
      <c r="K76" s="64"/>
      <c r="L76" s="64"/>
    </row>
    <row r="77" spans="1:12" ht="15" customHeight="1" x14ac:dyDescent="0.25">
      <c r="A77" s="64"/>
      <c r="B77" s="64"/>
      <c r="C77" s="64"/>
      <c r="D77" s="65"/>
      <c r="E77" s="64"/>
      <c r="F77" s="181" t="str">
        <f t="shared" si="6"/>
        <v/>
      </c>
      <c r="G77" s="182" t="str">
        <f t="shared" ca="1" si="7"/>
        <v/>
      </c>
      <c r="H77" s="183" t="str">
        <f t="shared" ca="1" si="8"/>
        <v/>
      </c>
      <c r="I77" s="65"/>
      <c r="J77" s="64"/>
      <c r="K77" s="64"/>
      <c r="L77" s="64"/>
    </row>
    <row r="78" spans="1:12" ht="15" customHeight="1" x14ac:dyDescent="0.25">
      <c r="A78" s="64"/>
      <c r="B78" s="64"/>
      <c r="C78" s="64"/>
      <c r="D78" s="65"/>
      <c r="E78" s="64"/>
      <c r="F78" s="181" t="str">
        <f t="shared" si="6"/>
        <v/>
      </c>
      <c r="G78" s="182" t="str">
        <f t="shared" ca="1" si="7"/>
        <v/>
      </c>
      <c r="H78" s="183" t="str">
        <f t="shared" ca="1" si="8"/>
        <v/>
      </c>
      <c r="I78" s="65"/>
      <c r="J78" s="64"/>
      <c r="K78" s="64"/>
      <c r="L78" s="64"/>
    </row>
    <row r="79" spans="1:12" ht="15" customHeight="1" x14ac:dyDescent="0.25">
      <c r="A79" s="64"/>
      <c r="B79" s="64"/>
      <c r="C79" s="64"/>
      <c r="D79" s="65"/>
      <c r="E79" s="64"/>
      <c r="F79" s="181" t="str">
        <f t="shared" si="6"/>
        <v/>
      </c>
      <c r="G79" s="182" t="str">
        <f t="shared" ca="1" si="7"/>
        <v/>
      </c>
      <c r="H79" s="183" t="str">
        <f t="shared" ca="1" si="8"/>
        <v/>
      </c>
      <c r="I79" s="65"/>
      <c r="J79" s="64"/>
      <c r="K79" s="64"/>
      <c r="L79" s="64"/>
    </row>
    <row r="80" spans="1:12" ht="15" customHeight="1" x14ac:dyDescent="0.25">
      <c r="A80" s="64"/>
      <c r="B80" s="64"/>
      <c r="C80" s="64"/>
      <c r="D80" s="65"/>
      <c r="E80" s="64"/>
      <c r="F80" s="181" t="str">
        <f t="shared" si="6"/>
        <v/>
      </c>
      <c r="G80" s="182" t="str">
        <f t="shared" ca="1" si="7"/>
        <v/>
      </c>
      <c r="H80" s="183" t="str">
        <f t="shared" ca="1" si="8"/>
        <v/>
      </c>
      <c r="I80" s="65"/>
      <c r="J80" s="64"/>
      <c r="K80" s="64"/>
      <c r="L80" s="64"/>
    </row>
    <row r="81" spans="1:12" ht="15" customHeight="1" x14ac:dyDescent="0.25">
      <c r="A81" s="64"/>
      <c r="B81" s="64"/>
      <c r="C81" s="64"/>
      <c r="D81" s="65"/>
      <c r="E81" s="64"/>
      <c r="F81" s="181" t="str">
        <f t="shared" si="6"/>
        <v/>
      </c>
      <c r="G81" s="182" t="str">
        <f t="shared" ca="1" si="7"/>
        <v/>
      </c>
      <c r="H81" s="183" t="str">
        <f t="shared" ca="1" si="8"/>
        <v/>
      </c>
      <c r="I81" s="65"/>
      <c r="J81" s="64"/>
      <c r="K81" s="64"/>
      <c r="L81" s="64"/>
    </row>
    <row r="82" spans="1:12" ht="15" customHeight="1" x14ac:dyDescent="0.25">
      <c r="A82" s="64"/>
      <c r="B82" s="64"/>
      <c r="C82" s="64"/>
      <c r="D82" s="65"/>
      <c r="E82" s="64"/>
      <c r="F82" s="181" t="str">
        <f t="shared" si="6"/>
        <v/>
      </c>
      <c r="G82" s="182" t="str">
        <f t="shared" ca="1" si="7"/>
        <v/>
      </c>
      <c r="H82" s="183" t="str">
        <f t="shared" ca="1" si="8"/>
        <v/>
      </c>
      <c r="I82" s="65"/>
      <c r="J82" s="64"/>
      <c r="K82" s="64"/>
      <c r="L82" s="64"/>
    </row>
    <row r="83" spans="1:12" ht="15" customHeight="1" x14ac:dyDescent="0.25">
      <c r="A83" s="64"/>
      <c r="B83" s="64"/>
      <c r="C83" s="64"/>
      <c r="D83" s="65"/>
      <c r="E83" s="64"/>
      <c r="F83" s="181" t="str">
        <f t="shared" si="6"/>
        <v/>
      </c>
      <c r="G83" s="182" t="str">
        <f t="shared" ca="1" si="7"/>
        <v/>
      </c>
      <c r="H83" s="183" t="str">
        <f t="shared" ca="1" si="8"/>
        <v/>
      </c>
      <c r="I83" s="65"/>
      <c r="J83" s="64"/>
      <c r="K83" s="64"/>
      <c r="L83" s="64"/>
    </row>
    <row r="84" spans="1:12" ht="15" customHeight="1" x14ac:dyDescent="0.25">
      <c r="A84" s="64"/>
      <c r="B84" s="64"/>
      <c r="C84" s="64"/>
      <c r="D84" s="65"/>
      <c r="E84" s="64"/>
      <c r="F84" s="181" t="str">
        <f t="shared" si="6"/>
        <v/>
      </c>
      <c r="G84" s="182" t="str">
        <f t="shared" ca="1" si="7"/>
        <v/>
      </c>
      <c r="H84" s="183" t="str">
        <f t="shared" ca="1" si="8"/>
        <v/>
      </c>
      <c r="I84" s="65"/>
      <c r="J84" s="64"/>
      <c r="K84" s="64"/>
      <c r="L84" s="64"/>
    </row>
    <row r="85" spans="1:12" ht="15" customHeight="1" x14ac:dyDescent="0.25">
      <c r="A85" s="64"/>
      <c r="B85" s="64"/>
      <c r="C85" s="64"/>
      <c r="D85" s="65"/>
      <c r="E85" s="64"/>
      <c r="F85" s="181" t="str">
        <f t="shared" si="6"/>
        <v/>
      </c>
      <c r="G85" s="182" t="str">
        <f t="shared" ca="1" si="7"/>
        <v/>
      </c>
      <c r="H85" s="183" t="str">
        <f t="shared" ca="1" si="8"/>
        <v/>
      </c>
      <c r="I85" s="65"/>
      <c r="J85" s="64"/>
      <c r="K85" s="64"/>
      <c r="L85" s="64"/>
    </row>
    <row r="86" spans="1:12" ht="15" customHeight="1" x14ac:dyDescent="0.25">
      <c r="A86" s="64"/>
      <c r="B86" s="64"/>
      <c r="C86" s="64"/>
      <c r="D86" s="65"/>
      <c r="E86" s="64"/>
      <c r="F86" s="181" t="str">
        <f t="shared" si="6"/>
        <v/>
      </c>
      <c r="G86" s="182" t="str">
        <f t="shared" ca="1" si="7"/>
        <v/>
      </c>
      <c r="H86" s="183" t="str">
        <f t="shared" ca="1" si="8"/>
        <v/>
      </c>
      <c r="I86" s="65"/>
      <c r="J86" s="64"/>
      <c r="K86" s="64"/>
      <c r="L86" s="64"/>
    </row>
    <row r="87" spans="1:12" ht="15" customHeight="1" x14ac:dyDescent="0.25">
      <c r="A87" s="64"/>
      <c r="B87" s="64"/>
      <c r="C87" s="64"/>
      <c r="D87" s="65"/>
      <c r="E87" s="64"/>
      <c r="F87" s="181" t="str">
        <f t="shared" si="6"/>
        <v/>
      </c>
      <c r="G87" s="182" t="str">
        <f t="shared" ca="1" si="7"/>
        <v/>
      </c>
      <c r="H87" s="183" t="str">
        <f t="shared" ca="1" si="8"/>
        <v/>
      </c>
      <c r="I87" s="65"/>
      <c r="J87" s="64"/>
      <c r="K87" s="64"/>
      <c r="L87" s="64"/>
    </row>
    <row r="88" spans="1:12" ht="15" customHeight="1" x14ac:dyDescent="0.25">
      <c r="A88" s="64"/>
      <c r="B88" s="64"/>
      <c r="C88" s="64"/>
      <c r="D88" s="65"/>
      <c r="E88" s="64"/>
      <c r="F88" s="181" t="str">
        <f t="shared" si="6"/>
        <v/>
      </c>
      <c r="G88" s="182" t="str">
        <f t="shared" ca="1" si="7"/>
        <v/>
      </c>
      <c r="H88" s="183" t="str">
        <f t="shared" ca="1" si="8"/>
        <v/>
      </c>
      <c r="I88" s="65"/>
      <c r="J88" s="64"/>
      <c r="K88" s="64"/>
      <c r="L88" s="64"/>
    </row>
    <row r="89" spans="1:12" ht="15" customHeight="1" x14ac:dyDescent="0.25">
      <c r="A89" s="64"/>
      <c r="B89" s="64"/>
      <c r="C89" s="64"/>
      <c r="D89" s="65"/>
      <c r="E89" s="64"/>
      <c r="F89" s="181" t="str">
        <f t="shared" si="6"/>
        <v/>
      </c>
      <c r="G89" s="182" t="str">
        <f t="shared" ca="1" si="7"/>
        <v/>
      </c>
      <c r="H89" s="183" t="str">
        <f t="shared" ca="1" si="8"/>
        <v/>
      </c>
      <c r="I89" s="65"/>
      <c r="J89" s="64"/>
      <c r="K89" s="64"/>
      <c r="L89" s="64"/>
    </row>
    <row r="90" spans="1:12" ht="15" customHeight="1" x14ac:dyDescent="0.25">
      <c r="A90" s="64"/>
      <c r="B90" s="64"/>
      <c r="C90" s="64"/>
      <c r="D90" s="65"/>
      <c r="E90" s="64"/>
      <c r="F90" s="181" t="str">
        <f t="shared" si="6"/>
        <v/>
      </c>
      <c r="G90" s="182" t="str">
        <f t="shared" ca="1" si="7"/>
        <v/>
      </c>
      <c r="H90" s="183" t="str">
        <f t="shared" ca="1" si="8"/>
        <v/>
      </c>
      <c r="I90" s="65"/>
      <c r="J90" s="64"/>
      <c r="K90" s="64"/>
      <c r="L90" s="64"/>
    </row>
    <row r="91" spans="1:12" ht="15" customHeight="1" x14ac:dyDescent="0.25">
      <c r="A91" s="64"/>
      <c r="B91" s="64"/>
      <c r="C91" s="64"/>
      <c r="D91" s="65"/>
      <c r="E91" s="64"/>
      <c r="F91" s="181" t="str">
        <f t="shared" si="6"/>
        <v/>
      </c>
      <c r="G91" s="182" t="str">
        <f t="shared" ca="1" si="7"/>
        <v/>
      </c>
      <c r="H91" s="183" t="str">
        <f t="shared" ca="1" si="8"/>
        <v/>
      </c>
      <c r="I91" s="65"/>
      <c r="J91" s="64"/>
      <c r="K91" s="64"/>
      <c r="L91" s="64"/>
    </row>
    <row r="92" spans="1:12" ht="15" customHeight="1" x14ac:dyDescent="0.25">
      <c r="A92" s="64"/>
      <c r="B92" s="64"/>
      <c r="C92" s="64"/>
      <c r="D92" s="65"/>
      <c r="E92" s="64"/>
      <c r="F92" s="181" t="str">
        <f t="shared" si="6"/>
        <v/>
      </c>
      <c r="G92" s="182" t="str">
        <f t="shared" ca="1" si="7"/>
        <v/>
      </c>
      <c r="H92" s="183" t="str">
        <f t="shared" ca="1" si="8"/>
        <v/>
      </c>
      <c r="I92" s="65"/>
      <c r="J92" s="64"/>
      <c r="K92" s="64"/>
      <c r="L92" s="64"/>
    </row>
    <row r="93" spans="1:12" ht="15" customHeight="1" x14ac:dyDescent="0.25">
      <c r="A93" s="64"/>
      <c r="B93" s="64"/>
      <c r="C93" s="64"/>
      <c r="D93" s="65"/>
      <c r="E93" s="64"/>
      <c r="F93" s="181" t="str">
        <f t="shared" si="6"/>
        <v/>
      </c>
      <c r="G93" s="182" t="str">
        <f t="shared" ca="1" si="7"/>
        <v/>
      </c>
      <c r="H93" s="183" t="str">
        <f t="shared" ca="1" si="8"/>
        <v/>
      </c>
      <c r="I93" s="65"/>
      <c r="J93" s="64"/>
      <c r="K93" s="64"/>
      <c r="L93" s="64"/>
    </row>
    <row r="94" spans="1:12" ht="15" customHeight="1" x14ac:dyDescent="0.25">
      <c r="A94" s="64"/>
      <c r="B94" s="64"/>
      <c r="C94" s="64"/>
      <c r="D94" s="65"/>
      <c r="E94" s="64"/>
      <c r="F94" s="181" t="str">
        <f t="shared" si="6"/>
        <v/>
      </c>
      <c r="G94" s="182" t="str">
        <f t="shared" ca="1" si="7"/>
        <v/>
      </c>
      <c r="H94" s="183" t="str">
        <f t="shared" ca="1" si="8"/>
        <v/>
      </c>
      <c r="I94" s="65"/>
      <c r="J94" s="64"/>
      <c r="K94" s="64"/>
      <c r="L94" s="64"/>
    </row>
    <row r="95" spans="1:12" ht="15" customHeight="1" x14ac:dyDescent="0.25">
      <c r="A95" s="64"/>
      <c r="B95" s="64"/>
      <c r="C95" s="64"/>
      <c r="D95" s="65"/>
      <c r="E95" s="64"/>
      <c r="F95" s="181" t="str">
        <f t="shared" si="6"/>
        <v/>
      </c>
      <c r="G95" s="182" t="str">
        <f t="shared" ca="1" si="7"/>
        <v/>
      </c>
      <c r="H95" s="183" t="str">
        <f t="shared" ca="1" si="8"/>
        <v/>
      </c>
      <c r="I95" s="65"/>
      <c r="J95" s="64"/>
      <c r="K95" s="64"/>
      <c r="L95" s="64"/>
    </row>
    <row r="96" spans="1:12" ht="15" customHeight="1" x14ac:dyDescent="0.25">
      <c r="A96" s="64"/>
      <c r="B96" s="64"/>
      <c r="C96" s="64"/>
      <c r="D96" s="65"/>
      <c r="E96" s="64"/>
      <c r="F96" s="181" t="str">
        <f t="shared" si="6"/>
        <v/>
      </c>
      <c r="G96" s="182" t="str">
        <f t="shared" ca="1" si="7"/>
        <v/>
      </c>
      <c r="H96" s="183" t="str">
        <f t="shared" ca="1" si="8"/>
        <v/>
      </c>
      <c r="I96" s="65"/>
      <c r="J96" s="64"/>
      <c r="K96" s="64"/>
      <c r="L96" s="64"/>
    </row>
    <row r="97" spans="1:12" ht="15" customHeight="1" x14ac:dyDescent="0.25">
      <c r="A97" s="64"/>
      <c r="B97" s="64"/>
      <c r="C97" s="64"/>
      <c r="D97" s="65"/>
      <c r="E97" s="64"/>
      <c r="F97" s="181" t="str">
        <f t="shared" si="6"/>
        <v/>
      </c>
      <c r="G97" s="182" t="str">
        <f t="shared" ca="1" si="7"/>
        <v/>
      </c>
      <c r="H97" s="183" t="str">
        <f t="shared" ca="1" si="8"/>
        <v/>
      </c>
      <c r="I97" s="65"/>
      <c r="J97" s="64"/>
      <c r="K97" s="64"/>
      <c r="L97" s="64"/>
    </row>
    <row r="98" spans="1:12" ht="15" customHeight="1" x14ac:dyDescent="0.25">
      <c r="A98" s="64"/>
      <c r="B98" s="64"/>
      <c r="C98" s="64"/>
      <c r="D98" s="65"/>
      <c r="E98" s="64"/>
      <c r="F98" s="181" t="str">
        <f t="shared" si="6"/>
        <v/>
      </c>
      <c r="G98" s="182" t="str">
        <f t="shared" ca="1" si="7"/>
        <v/>
      </c>
      <c r="H98" s="183" t="str">
        <f t="shared" ca="1" si="8"/>
        <v/>
      </c>
      <c r="I98" s="65"/>
      <c r="J98" s="64"/>
      <c r="K98" s="64"/>
      <c r="L98" s="64"/>
    </row>
    <row r="99" spans="1:12" ht="15" customHeight="1" x14ac:dyDescent="0.25">
      <c r="A99" s="64"/>
      <c r="B99" s="64"/>
      <c r="C99" s="64"/>
      <c r="D99" s="65"/>
      <c r="E99" s="64"/>
      <c r="F99" s="181" t="str">
        <f t="shared" ref="F99:F130" si="9">IFERROR(IF(OR(D99="",E99=""),"",EDATE(D99,E99)),"")</f>
        <v/>
      </c>
      <c r="G99" s="182" t="str">
        <f t="shared" ref="G99:G130" ca="1" si="10">IFERROR(IF(F99="","",F99-TODAY()),"")</f>
        <v/>
      </c>
      <c r="H99" s="183" t="str">
        <f t="shared" ref="H99:H130" ca="1" si="11">IFERROR(IF(G99="","",IF(G99&lt;0,"Expired",IF(G99&lt;60,"Expiring_soon","Active"))),"")</f>
        <v/>
      </c>
      <c r="I99" s="65"/>
      <c r="J99" s="64"/>
      <c r="K99" s="64"/>
      <c r="L99" s="64"/>
    </row>
    <row r="100" spans="1:12" ht="15" customHeight="1" x14ac:dyDescent="0.25">
      <c r="A100" s="64"/>
      <c r="B100" s="64"/>
      <c r="C100" s="64"/>
      <c r="D100" s="65"/>
      <c r="E100" s="64"/>
      <c r="F100" s="181" t="str">
        <f t="shared" si="9"/>
        <v/>
      </c>
      <c r="G100" s="182" t="str">
        <f t="shared" ca="1" si="10"/>
        <v/>
      </c>
      <c r="H100" s="183" t="str">
        <f t="shared" ca="1" si="11"/>
        <v/>
      </c>
      <c r="I100" s="65"/>
      <c r="J100" s="64"/>
      <c r="K100" s="64"/>
      <c r="L100" s="64"/>
    </row>
    <row r="101" spans="1:12" ht="15" customHeight="1" x14ac:dyDescent="0.25">
      <c r="A101" s="64"/>
      <c r="B101" s="64"/>
      <c r="C101" s="64"/>
      <c r="D101" s="65"/>
      <c r="E101" s="64"/>
      <c r="F101" s="181" t="str">
        <f t="shared" si="9"/>
        <v/>
      </c>
      <c r="G101" s="182" t="str">
        <f t="shared" ca="1" si="10"/>
        <v/>
      </c>
      <c r="H101" s="183" t="str">
        <f t="shared" ca="1" si="11"/>
        <v/>
      </c>
      <c r="I101" s="65"/>
      <c r="J101" s="64"/>
      <c r="K101" s="64"/>
      <c r="L101" s="64"/>
    </row>
    <row r="102" spans="1:12" ht="15" customHeight="1" x14ac:dyDescent="0.25">
      <c r="A102" s="64"/>
      <c r="B102" s="64"/>
      <c r="C102" s="64"/>
      <c r="D102" s="65"/>
      <c r="E102" s="64"/>
      <c r="F102" s="181" t="str">
        <f t="shared" si="9"/>
        <v/>
      </c>
      <c r="G102" s="182" t="str">
        <f t="shared" ca="1" si="10"/>
        <v/>
      </c>
      <c r="H102" s="183" t="str">
        <f t="shared" ca="1" si="11"/>
        <v/>
      </c>
      <c r="I102" s="65"/>
      <c r="J102" s="64"/>
      <c r="K102" s="64"/>
      <c r="L102" s="64"/>
    </row>
    <row r="103" spans="1:12" ht="15" customHeight="1" x14ac:dyDescent="0.25">
      <c r="A103" s="64"/>
      <c r="B103" s="64"/>
      <c r="C103" s="64"/>
      <c r="D103" s="65"/>
      <c r="E103" s="64"/>
      <c r="F103" s="181" t="str">
        <f t="shared" si="9"/>
        <v/>
      </c>
      <c r="G103" s="182" t="str">
        <f t="shared" ca="1" si="10"/>
        <v/>
      </c>
      <c r="H103" s="183" t="str">
        <f t="shared" ca="1" si="11"/>
        <v/>
      </c>
      <c r="I103" s="65"/>
      <c r="J103" s="64"/>
      <c r="K103" s="64"/>
      <c r="L103" s="64"/>
    </row>
    <row r="104" spans="1:12" ht="15" customHeight="1" x14ac:dyDescent="0.25">
      <c r="A104" s="64"/>
      <c r="B104" s="64"/>
      <c r="C104" s="64"/>
      <c r="D104" s="65"/>
      <c r="E104" s="64"/>
      <c r="F104" s="181" t="str">
        <f t="shared" si="9"/>
        <v/>
      </c>
      <c r="G104" s="182" t="str">
        <f t="shared" ca="1" si="10"/>
        <v/>
      </c>
      <c r="H104" s="183" t="str">
        <f t="shared" ca="1" si="11"/>
        <v/>
      </c>
      <c r="I104" s="65"/>
      <c r="J104" s="64"/>
      <c r="K104" s="64"/>
      <c r="L104" s="64"/>
    </row>
    <row r="105" spans="1:12" ht="15" customHeight="1" x14ac:dyDescent="0.25">
      <c r="A105" s="64"/>
      <c r="B105" s="64"/>
      <c r="C105" s="64"/>
      <c r="D105" s="65"/>
      <c r="E105" s="64"/>
      <c r="F105" s="181" t="str">
        <f t="shared" si="9"/>
        <v/>
      </c>
      <c r="G105" s="182" t="str">
        <f t="shared" ca="1" si="10"/>
        <v/>
      </c>
      <c r="H105" s="183" t="str">
        <f t="shared" ca="1" si="11"/>
        <v/>
      </c>
      <c r="I105" s="65"/>
      <c r="J105" s="64"/>
      <c r="K105" s="64"/>
      <c r="L105" s="64"/>
    </row>
    <row r="106" spans="1:12" ht="15" customHeight="1" x14ac:dyDescent="0.25">
      <c r="A106" s="64"/>
      <c r="B106" s="64"/>
      <c r="C106" s="64"/>
      <c r="D106" s="65"/>
      <c r="E106" s="64"/>
      <c r="F106" s="181" t="str">
        <f t="shared" si="9"/>
        <v/>
      </c>
      <c r="G106" s="182" t="str">
        <f t="shared" ca="1" si="10"/>
        <v/>
      </c>
      <c r="H106" s="183" t="str">
        <f t="shared" ca="1" si="11"/>
        <v/>
      </c>
      <c r="I106" s="65"/>
      <c r="J106" s="64"/>
      <c r="K106" s="64"/>
      <c r="L106" s="64"/>
    </row>
    <row r="107" spans="1:12" ht="15" customHeight="1" x14ac:dyDescent="0.25">
      <c r="A107" s="64"/>
      <c r="B107" s="64"/>
      <c r="C107" s="64"/>
      <c r="D107" s="65"/>
      <c r="E107" s="64"/>
      <c r="F107" s="181" t="str">
        <f t="shared" si="9"/>
        <v/>
      </c>
      <c r="G107" s="182" t="str">
        <f t="shared" ca="1" si="10"/>
        <v/>
      </c>
      <c r="H107" s="183" t="str">
        <f t="shared" ca="1" si="11"/>
        <v/>
      </c>
      <c r="I107" s="65"/>
      <c r="J107" s="64"/>
      <c r="K107" s="64"/>
      <c r="L107" s="64"/>
    </row>
    <row r="108" spans="1:12" ht="15" customHeight="1" x14ac:dyDescent="0.25">
      <c r="A108" s="64"/>
      <c r="B108" s="64"/>
      <c r="C108" s="64"/>
      <c r="D108" s="65"/>
      <c r="E108" s="64"/>
      <c r="F108" s="181" t="str">
        <f t="shared" si="9"/>
        <v/>
      </c>
      <c r="G108" s="182" t="str">
        <f t="shared" ca="1" si="10"/>
        <v/>
      </c>
      <c r="H108" s="183" t="str">
        <f t="shared" ca="1" si="11"/>
        <v/>
      </c>
      <c r="I108" s="65"/>
      <c r="J108" s="64"/>
      <c r="K108" s="64"/>
      <c r="L108" s="64"/>
    </row>
    <row r="109" spans="1:12" ht="15" customHeight="1" x14ac:dyDescent="0.25">
      <c r="A109" s="64"/>
      <c r="B109" s="64"/>
      <c r="C109" s="64"/>
      <c r="D109" s="65"/>
      <c r="E109" s="64"/>
      <c r="F109" s="181" t="str">
        <f t="shared" si="9"/>
        <v/>
      </c>
      <c r="G109" s="182" t="str">
        <f t="shared" ca="1" si="10"/>
        <v/>
      </c>
      <c r="H109" s="183" t="str">
        <f t="shared" ca="1" si="11"/>
        <v/>
      </c>
      <c r="I109" s="65"/>
      <c r="J109" s="64"/>
      <c r="K109" s="64"/>
      <c r="L109" s="64"/>
    </row>
    <row r="110" spans="1:12" ht="15" customHeight="1" x14ac:dyDescent="0.25">
      <c r="A110" s="64"/>
      <c r="B110" s="64"/>
      <c r="C110" s="64"/>
      <c r="D110" s="65"/>
      <c r="E110" s="64"/>
      <c r="F110" s="181" t="str">
        <f t="shared" si="9"/>
        <v/>
      </c>
      <c r="G110" s="182" t="str">
        <f t="shared" ca="1" si="10"/>
        <v/>
      </c>
      <c r="H110" s="183" t="str">
        <f t="shared" ca="1" si="11"/>
        <v/>
      </c>
      <c r="I110" s="65"/>
      <c r="J110" s="64"/>
      <c r="K110" s="64"/>
      <c r="L110" s="64"/>
    </row>
    <row r="111" spans="1:12" ht="15" customHeight="1" x14ac:dyDescent="0.25">
      <c r="A111" s="64"/>
      <c r="B111" s="64"/>
      <c r="C111" s="64"/>
      <c r="D111" s="65"/>
      <c r="E111" s="64"/>
      <c r="F111" s="181" t="str">
        <f t="shared" si="9"/>
        <v/>
      </c>
      <c r="G111" s="182" t="str">
        <f t="shared" ca="1" si="10"/>
        <v/>
      </c>
      <c r="H111" s="183" t="str">
        <f t="shared" ca="1" si="11"/>
        <v/>
      </c>
      <c r="I111" s="65"/>
      <c r="J111" s="64"/>
      <c r="K111" s="64"/>
      <c r="L111" s="64"/>
    </row>
    <row r="112" spans="1:12" ht="15" customHeight="1" x14ac:dyDescent="0.25">
      <c r="A112" s="64"/>
      <c r="B112" s="64"/>
      <c r="C112" s="64"/>
      <c r="D112" s="65"/>
      <c r="E112" s="64"/>
      <c r="F112" s="181" t="str">
        <f t="shared" si="9"/>
        <v/>
      </c>
      <c r="G112" s="182" t="str">
        <f t="shared" ca="1" si="10"/>
        <v/>
      </c>
      <c r="H112" s="183" t="str">
        <f t="shared" ca="1" si="11"/>
        <v/>
      </c>
      <c r="I112" s="65"/>
      <c r="J112" s="64"/>
      <c r="K112" s="64"/>
      <c r="L112" s="64"/>
    </row>
    <row r="113" spans="1:12" ht="15" customHeight="1" x14ac:dyDescent="0.25">
      <c r="A113" s="64"/>
      <c r="B113" s="64"/>
      <c r="C113" s="64"/>
      <c r="D113" s="65"/>
      <c r="E113" s="64"/>
      <c r="F113" s="181" t="str">
        <f t="shared" si="9"/>
        <v/>
      </c>
      <c r="G113" s="182" t="str">
        <f t="shared" ca="1" si="10"/>
        <v/>
      </c>
      <c r="H113" s="183" t="str">
        <f t="shared" ca="1" si="11"/>
        <v/>
      </c>
      <c r="I113" s="65"/>
      <c r="J113" s="64"/>
      <c r="K113" s="64"/>
      <c r="L113" s="64"/>
    </row>
    <row r="114" spans="1:12" ht="15" customHeight="1" x14ac:dyDescent="0.25">
      <c r="A114" s="64"/>
      <c r="B114" s="64"/>
      <c r="C114" s="64"/>
      <c r="D114" s="65"/>
      <c r="E114" s="64"/>
      <c r="F114" s="181" t="str">
        <f t="shared" si="9"/>
        <v/>
      </c>
      <c r="G114" s="182" t="str">
        <f t="shared" ca="1" si="10"/>
        <v/>
      </c>
      <c r="H114" s="183" t="str">
        <f t="shared" ca="1" si="11"/>
        <v/>
      </c>
      <c r="I114" s="65"/>
      <c r="J114" s="64"/>
      <c r="K114" s="64"/>
      <c r="L114" s="64"/>
    </row>
    <row r="115" spans="1:12" ht="15" customHeight="1" x14ac:dyDescent="0.25">
      <c r="A115" s="64"/>
      <c r="B115" s="64"/>
      <c r="C115" s="64"/>
      <c r="D115" s="65"/>
      <c r="E115" s="64"/>
      <c r="F115" s="181" t="str">
        <f t="shared" si="9"/>
        <v/>
      </c>
      <c r="G115" s="182" t="str">
        <f t="shared" ca="1" si="10"/>
        <v/>
      </c>
      <c r="H115" s="183" t="str">
        <f t="shared" ca="1" si="11"/>
        <v/>
      </c>
      <c r="I115" s="65"/>
      <c r="J115" s="64"/>
      <c r="K115" s="64"/>
      <c r="L115" s="64"/>
    </row>
    <row r="116" spans="1:12" ht="15" customHeight="1" x14ac:dyDescent="0.25">
      <c r="A116" s="64"/>
      <c r="B116" s="64"/>
      <c r="C116" s="64"/>
      <c r="D116" s="65"/>
      <c r="E116" s="64"/>
      <c r="F116" s="181" t="str">
        <f t="shared" si="9"/>
        <v/>
      </c>
      <c r="G116" s="182" t="str">
        <f t="shared" ca="1" si="10"/>
        <v/>
      </c>
      <c r="H116" s="183" t="str">
        <f t="shared" ca="1" si="11"/>
        <v/>
      </c>
      <c r="I116" s="65"/>
      <c r="J116" s="64"/>
      <c r="K116" s="64"/>
      <c r="L116" s="64"/>
    </row>
    <row r="117" spans="1:12" ht="15" customHeight="1" x14ac:dyDescent="0.25">
      <c r="A117" s="64"/>
      <c r="B117" s="64"/>
      <c r="C117" s="64"/>
      <c r="D117" s="65"/>
      <c r="E117" s="64"/>
      <c r="F117" s="181" t="str">
        <f t="shared" si="9"/>
        <v/>
      </c>
      <c r="G117" s="182" t="str">
        <f t="shared" ca="1" si="10"/>
        <v/>
      </c>
      <c r="H117" s="183" t="str">
        <f t="shared" ca="1" si="11"/>
        <v/>
      </c>
      <c r="I117" s="65"/>
      <c r="J117" s="64"/>
      <c r="K117" s="64"/>
      <c r="L117" s="64"/>
    </row>
    <row r="118" spans="1:12" ht="15" customHeight="1" x14ac:dyDescent="0.25">
      <c r="A118" s="64"/>
      <c r="B118" s="64"/>
      <c r="C118" s="64"/>
      <c r="D118" s="65"/>
      <c r="E118" s="64"/>
      <c r="F118" s="181" t="str">
        <f t="shared" si="9"/>
        <v/>
      </c>
      <c r="G118" s="182" t="str">
        <f t="shared" ca="1" si="10"/>
        <v/>
      </c>
      <c r="H118" s="183" t="str">
        <f t="shared" ca="1" si="11"/>
        <v/>
      </c>
      <c r="I118" s="65"/>
      <c r="J118" s="64"/>
      <c r="K118" s="64"/>
      <c r="L118" s="64"/>
    </row>
    <row r="119" spans="1:12" ht="15" customHeight="1" x14ac:dyDescent="0.25">
      <c r="A119" s="64"/>
      <c r="B119" s="64"/>
      <c r="C119" s="64"/>
      <c r="D119" s="65"/>
      <c r="E119" s="64"/>
      <c r="F119" s="181" t="str">
        <f t="shared" si="9"/>
        <v/>
      </c>
      <c r="G119" s="182" t="str">
        <f t="shared" ca="1" si="10"/>
        <v/>
      </c>
      <c r="H119" s="183" t="str">
        <f t="shared" ca="1" si="11"/>
        <v/>
      </c>
      <c r="I119" s="65"/>
      <c r="J119" s="64"/>
      <c r="K119" s="64"/>
      <c r="L119" s="64"/>
    </row>
    <row r="120" spans="1:12" ht="15" customHeight="1" x14ac:dyDescent="0.25">
      <c r="A120" s="64"/>
      <c r="B120" s="64"/>
      <c r="C120" s="64"/>
      <c r="D120" s="65"/>
      <c r="E120" s="64"/>
      <c r="F120" s="181" t="str">
        <f t="shared" si="9"/>
        <v/>
      </c>
      <c r="G120" s="182" t="str">
        <f t="shared" ca="1" si="10"/>
        <v/>
      </c>
      <c r="H120" s="183" t="str">
        <f t="shared" ca="1" si="11"/>
        <v/>
      </c>
      <c r="I120" s="65"/>
      <c r="J120" s="64"/>
      <c r="K120" s="64"/>
      <c r="L120" s="64"/>
    </row>
    <row r="121" spans="1:12" ht="15" customHeight="1" x14ac:dyDescent="0.25">
      <c r="A121" s="64"/>
      <c r="B121" s="64"/>
      <c r="C121" s="64"/>
      <c r="D121" s="65"/>
      <c r="E121" s="64"/>
      <c r="F121" s="181" t="str">
        <f t="shared" si="9"/>
        <v/>
      </c>
      <c r="G121" s="182" t="str">
        <f t="shared" ca="1" si="10"/>
        <v/>
      </c>
      <c r="H121" s="183" t="str">
        <f t="shared" ca="1" si="11"/>
        <v/>
      </c>
      <c r="I121" s="65"/>
      <c r="J121" s="64"/>
      <c r="K121" s="64"/>
      <c r="L121" s="64"/>
    </row>
    <row r="122" spans="1:12" ht="15" customHeight="1" x14ac:dyDescent="0.25">
      <c r="A122" s="64"/>
      <c r="B122" s="64"/>
      <c r="C122" s="64"/>
      <c r="D122" s="65"/>
      <c r="E122" s="64"/>
      <c r="F122" s="181" t="str">
        <f t="shared" si="9"/>
        <v/>
      </c>
      <c r="G122" s="182" t="str">
        <f t="shared" ca="1" si="10"/>
        <v/>
      </c>
      <c r="H122" s="183" t="str">
        <f t="shared" ca="1" si="11"/>
        <v/>
      </c>
      <c r="I122" s="65"/>
      <c r="J122" s="64"/>
      <c r="K122" s="64"/>
      <c r="L122" s="64"/>
    </row>
    <row r="123" spans="1:12" ht="15" customHeight="1" x14ac:dyDescent="0.25">
      <c r="A123" s="64"/>
      <c r="B123" s="64"/>
      <c r="C123" s="64"/>
      <c r="D123" s="65"/>
      <c r="E123" s="64"/>
      <c r="F123" s="181" t="str">
        <f t="shared" si="9"/>
        <v/>
      </c>
      <c r="G123" s="182" t="str">
        <f t="shared" ca="1" si="10"/>
        <v/>
      </c>
      <c r="H123" s="183" t="str">
        <f t="shared" ca="1" si="11"/>
        <v/>
      </c>
      <c r="I123" s="65"/>
      <c r="J123" s="64"/>
      <c r="K123" s="64"/>
      <c r="L123" s="64"/>
    </row>
    <row r="124" spans="1:12" ht="15" customHeight="1" x14ac:dyDescent="0.25">
      <c r="A124" s="64"/>
      <c r="B124" s="64"/>
      <c r="C124" s="64"/>
      <c r="D124" s="65"/>
      <c r="E124" s="64"/>
      <c r="F124" s="181" t="str">
        <f t="shared" si="9"/>
        <v/>
      </c>
      <c r="G124" s="182" t="str">
        <f t="shared" ca="1" si="10"/>
        <v/>
      </c>
      <c r="H124" s="183" t="str">
        <f t="shared" ca="1" si="11"/>
        <v/>
      </c>
      <c r="I124" s="65"/>
      <c r="J124" s="64"/>
      <c r="K124" s="64"/>
      <c r="L124" s="64"/>
    </row>
    <row r="125" spans="1:12" ht="15" customHeight="1" x14ac:dyDescent="0.25">
      <c r="A125" s="64"/>
      <c r="B125" s="64"/>
      <c r="C125" s="64"/>
      <c r="D125" s="65"/>
      <c r="E125" s="64"/>
      <c r="F125" s="181" t="str">
        <f t="shared" si="9"/>
        <v/>
      </c>
      <c r="G125" s="182" t="str">
        <f t="shared" ca="1" si="10"/>
        <v/>
      </c>
      <c r="H125" s="183" t="str">
        <f t="shared" ca="1" si="11"/>
        <v/>
      </c>
      <c r="I125" s="65"/>
      <c r="J125" s="64"/>
      <c r="K125" s="64"/>
      <c r="L125" s="64"/>
    </row>
    <row r="126" spans="1:12" ht="15" customHeight="1" x14ac:dyDescent="0.25">
      <c r="A126" s="64"/>
      <c r="B126" s="64"/>
      <c r="C126" s="64"/>
      <c r="D126" s="65"/>
      <c r="E126" s="64"/>
      <c r="F126" s="181" t="str">
        <f t="shared" si="9"/>
        <v/>
      </c>
      <c r="G126" s="182" t="str">
        <f t="shared" ca="1" si="10"/>
        <v/>
      </c>
      <c r="H126" s="183" t="str">
        <f t="shared" ca="1" si="11"/>
        <v/>
      </c>
      <c r="I126" s="65"/>
      <c r="J126" s="64"/>
      <c r="K126" s="64"/>
      <c r="L126" s="64"/>
    </row>
    <row r="127" spans="1:12" ht="15" customHeight="1" x14ac:dyDescent="0.25">
      <c r="A127" s="64"/>
      <c r="B127" s="64"/>
      <c r="C127" s="64"/>
      <c r="D127" s="65"/>
      <c r="E127" s="64"/>
      <c r="F127" s="181" t="str">
        <f t="shared" si="9"/>
        <v/>
      </c>
      <c r="G127" s="182" t="str">
        <f t="shared" ca="1" si="10"/>
        <v/>
      </c>
      <c r="H127" s="183" t="str">
        <f t="shared" ca="1" si="11"/>
        <v/>
      </c>
      <c r="I127" s="65"/>
      <c r="J127" s="64"/>
      <c r="K127" s="64"/>
      <c r="L127" s="64"/>
    </row>
    <row r="128" spans="1:12" ht="15" customHeight="1" x14ac:dyDescent="0.25">
      <c r="A128" s="64"/>
      <c r="B128" s="64"/>
      <c r="C128" s="64"/>
      <c r="D128" s="65"/>
      <c r="E128" s="64"/>
      <c r="F128" s="181" t="str">
        <f t="shared" si="9"/>
        <v/>
      </c>
      <c r="G128" s="182" t="str">
        <f t="shared" ca="1" si="10"/>
        <v/>
      </c>
      <c r="H128" s="183" t="str">
        <f t="shared" ca="1" si="11"/>
        <v/>
      </c>
      <c r="I128" s="65"/>
      <c r="J128" s="64"/>
      <c r="K128" s="64"/>
      <c r="L128" s="64"/>
    </row>
    <row r="129" spans="1:12" ht="15" customHeight="1" x14ac:dyDescent="0.25">
      <c r="A129" s="64"/>
      <c r="B129" s="64"/>
      <c r="C129" s="64"/>
      <c r="D129" s="65"/>
      <c r="E129" s="64"/>
      <c r="F129" s="181" t="str">
        <f t="shared" si="9"/>
        <v/>
      </c>
      <c r="G129" s="182" t="str">
        <f t="shared" ca="1" si="10"/>
        <v/>
      </c>
      <c r="H129" s="183" t="str">
        <f t="shared" ca="1" si="11"/>
        <v/>
      </c>
      <c r="I129" s="65"/>
      <c r="J129" s="64"/>
      <c r="K129" s="64"/>
      <c r="L129" s="64"/>
    </row>
    <row r="130" spans="1:12" ht="15" customHeight="1" x14ac:dyDescent="0.25">
      <c r="A130" s="64"/>
      <c r="B130" s="64"/>
      <c r="C130" s="64"/>
      <c r="D130" s="65"/>
      <c r="E130" s="64"/>
      <c r="F130" s="181" t="str">
        <f t="shared" si="9"/>
        <v/>
      </c>
      <c r="G130" s="182" t="str">
        <f t="shared" ca="1" si="10"/>
        <v/>
      </c>
      <c r="H130" s="183" t="str">
        <f t="shared" ca="1" si="11"/>
        <v/>
      </c>
      <c r="I130" s="65"/>
      <c r="J130" s="64"/>
      <c r="K130" s="64"/>
      <c r="L130" s="64"/>
    </row>
    <row r="131" spans="1:12" ht="15" customHeight="1" x14ac:dyDescent="0.25">
      <c r="A131" s="64"/>
      <c r="B131" s="64"/>
      <c r="C131" s="64"/>
      <c r="D131" s="65"/>
      <c r="E131" s="64"/>
      <c r="F131" s="181" t="str">
        <f t="shared" ref="F131:F162" si="12">IFERROR(IF(OR(D131="",E131=""),"",EDATE(D131,E131)),"")</f>
        <v/>
      </c>
      <c r="G131" s="182" t="str">
        <f t="shared" ref="G131:G162" ca="1" si="13">IFERROR(IF(F131="","",F131-TODAY()),"")</f>
        <v/>
      </c>
      <c r="H131" s="183" t="str">
        <f t="shared" ref="H131:H162" ca="1" si="14">IFERROR(IF(G131="","",IF(G131&lt;0,"Expired",IF(G131&lt;60,"Expiring_soon","Active"))),"")</f>
        <v/>
      </c>
      <c r="I131" s="65"/>
      <c r="J131" s="64"/>
      <c r="K131" s="64"/>
      <c r="L131" s="64"/>
    </row>
    <row r="132" spans="1:12" ht="15" customHeight="1" x14ac:dyDescent="0.25">
      <c r="A132" s="64"/>
      <c r="B132" s="64"/>
      <c r="C132" s="64"/>
      <c r="D132" s="65"/>
      <c r="E132" s="64"/>
      <c r="F132" s="181" t="str">
        <f t="shared" si="12"/>
        <v/>
      </c>
      <c r="G132" s="182" t="str">
        <f t="shared" ca="1" si="13"/>
        <v/>
      </c>
      <c r="H132" s="183" t="str">
        <f t="shared" ca="1" si="14"/>
        <v/>
      </c>
      <c r="I132" s="65"/>
      <c r="J132" s="64"/>
      <c r="K132" s="64"/>
      <c r="L132" s="64"/>
    </row>
    <row r="133" spans="1:12" ht="15" customHeight="1" x14ac:dyDescent="0.25">
      <c r="A133" s="64"/>
      <c r="B133" s="64"/>
      <c r="C133" s="64"/>
      <c r="D133" s="65"/>
      <c r="E133" s="64"/>
      <c r="F133" s="181" t="str">
        <f t="shared" si="12"/>
        <v/>
      </c>
      <c r="G133" s="182" t="str">
        <f t="shared" ca="1" si="13"/>
        <v/>
      </c>
      <c r="H133" s="183" t="str">
        <f t="shared" ca="1" si="14"/>
        <v/>
      </c>
      <c r="I133" s="65"/>
      <c r="J133" s="64"/>
      <c r="K133" s="64"/>
      <c r="L133" s="64"/>
    </row>
    <row r="134" spans="1:12" ht="15" customHeight="1" x14ac:dyDescent="0.25">
      <c r="A134" s="64"/>
      <c r="B134" s="64"/>
      <c r="C134" s="64"/>
      <c r="D134" s="65"/>
      <c r="E134" s="64"/>
      <c r="F134" s="181" t="str">
        <f t="shared" si="12"/>
        <v/>
      </c>
      <c r="G134" s="182" t="str">
        <f t="shared" ca="1" si="13"/>
        <v/>
      </c>
      <c r="H134" s="183" t="str">
        <f t="shared" ca="1" si="14"/>
        <v/>
      </c>
      <c r="I134" s="65"/>
      <c r="J134" s="64"/>
      <c r="K134" s="64"/>
      <c r="L134" s="64"/>
    </row>
    <row r="135" spans="1:12" ht="15" customHeight="1" x14ac:dyDescent="0.25">
      <c r="A135" s="64"/>
      <c r="B135" s="64"/>
      <c r="C135" s="64"/>
      <c r="D135" s="65"/>
      <c r="E135" s="64"/>
      <c r="F135" s="181" t="str">
        <f t="shared" si="12"/>
        <v/>
      </c>
      <c r="G135" s="182" t="str">
        <f t="shared" ca="1" si="13"/>
        <v/>
      </c>
      <c r="H135" s="183" t="str">
        <f t="shared" ca="1" si="14"/>
        <v/>
      </c>
      <c r="I135" s="65"/>
      <c r="J135" s="64"/>
      <c r="K135" s="64"/>
      <c r="L135" s="64"/>
    </row>
    <row r="136" spans="1:12" ht="15" customHeight="1" x14ac:dyDescent="0.25">
      <c r="A136" s="64"/>
      <c r="B136" s="64"/>
      <c r="C136" s="64"/>
      <c r="D136" s="65"/>
      <c r="E136" s="64"/>
      <c r="F136" s="181" t="str">
        <f t="shared" si="12"/>
        <v/>
      </c>
      <c r="G136" s="182" t="str">
        <f t="shared" ca="1" si="13"/>
        <v/>
      </c>
      <c r="H136" s="183" t="str">
        <f t="shared" ca="1" si="14"/>
        <v/>
      </c>
      <c r="I136" s="65"/>
      <c r="J136" s="64"/>
      <c r="K136" s="64"/>
      <c r="L136" s="64"/>
    </row>
    <row r="137" spans="1:12" ht="15" customHeight="1" x14ac:dyDescent="0.25">
      <c r="A137" s="64"/>
      <c r="B137" s="64"/>
      <c r="C137" s="64"/>
      <c r="D137" s="65"/>
      <c r="E137" s="64"/>
      <c r="F137" s="181" t="str">
        <f t="shared" si="12"/>
        <v/>
      </c>
      <c r="G137" s="182" t="str">
        <f t="shared" ca="1" si="13"/>
        <v/>
      </c>
      <c r="H137" s="183" t="str">
        <f t="shared" ca="1" si="14"/>
        <v/>
      </c>
      <c r="I137" s="65"/>
      <c r="J137" s="64"/>
      <c r="K137" s="64"/>
      <c r="L137" s="64"/>
    </row>
    <row r="138" spans="1:12" ht="15" customHeight="1" x14ac:dyDescent="0.25">
      <c r="A138" s="64"/>
      <c r="B138" s="64"/>
      <c r="C138" s="64"/>
      <c r="D138" s="65"/>
      <c r="E138" s="64"/>
      <c r="F138" s="181" t="str">
        <f t="shared" si="12"/>
        <v/>
      </c>
      <c r="G138" s="182" t="str">
        <f t="shared" ca="1" si="13"/>
        <v/>
      </c>
      <c r="H138" s="183" t="str">
        <f t="shared" ca="1" si="14"/>
        <v/>
      </c>
      <c r="I138" s="65"/>
      <c r="J138" s="64"/>
      <c r="K138" s="64"/>
      <c r="L138" s="64"/>
    </row>
    <row r="139" spans="1:12" ht="15" customHeight="1" x14ac:dyDescent="0.25">
      <c r="A139" s="64"/>
      <c r="B139" s="64"/>
      <c r="C139" s="64"/>
      <c r="D139" s="65"/>
      <c r="E139" s="64"/>
      <c r="F139" s="181" t="str">
        <f t="shared" si="12"/>
        <v/>
      </c>
      <c r="G139" s="182" t="str">
        <f t="shared" ca="1" si="13"/>
        <v/>
      </c>
      <c r="H139" s="183" t="str">
        <f t="shared" ca="1" si="14"/>
        <v/>
      </c>
      <c r="I139" s="65"/>
      <c r="J139" s="64"/>
      <c r="K139" s="64"/>
      <c r="L139" s="64"/>
    </row>
    <row r="140" spans="1:12" ht="15" customHeight="1" x14ac:dyDescent="0.25">
      <c r="A140" s="64"/>
      <c r="B140" s="64"/>
      <c r="C140" s="64"/>
      <c r="D140" s="65"/>
      <c r="E140" s="64"/>
      <c r="F140" s="181" t="str">
        <f t="shared" si="12"/>
        <v/>
      </c>
      <c r="G140" s="182" t="str">
        <f t="shared" ca="1" si="13"/>
        <v/>
      </c>
      <c r="H140" s="183" t="str">
        <f t="shared" ca="1" si="14"/>
        <v/>
      </c>
      <c r="I140" s="65"/>
      <c r="J140" s="64"/>
      <c r="K140" s="64"/>
      <c r="L140" s="64"/>
    </row>
    <row r="141" spans="1:12" ht="15" customHeight="1" x14ac:dyDescent="0.25">
      <c r="A141" s="64"/>
      <c r="B141" s="64"/>
      <c r="C141" s="64"/>
      <c r="D141" s="65"/>
      <c r="E141" s="64"/>
      <c r="F141" s="181" t="str">
        <f t="shared" si="12"/>
        <v/>
      </c>
      <c r="G141" s="182" t="str">
        <f t="shared" ca="1" si="13"/>
        <v/>
      </c>
      <c r="H141" s="183" t="str">
        <f t="shared" ca="1" si="14"/>
        <v/>
      </c>
      <c r="I141" s="65"/>
      <c r="J141" s="64"/>
      <c r="K141" s="64"/>
      <c r="L141" s="64"/>
    </row>
    <row r="142" spans="1:12" ht="15" customHeight="1" x14ac:dyDescent="0.25">
      <c r="A142" s="64"/>
      <c r="B142" s="64"/>
      <c r="C142" s="64"/>
      <c r="D142" s="65"/>
      <c r="E142" s="64"/>
      <c r="F142" s="181" t="str">
        <f t="shared" si="12"/>
        <v/>
      </c>
      <c r="G142" s="182" t="str">
        <f t="shared" ca="1" si="13"/>
        <v/>
      </c>
      <c r="H142" s="183" t="str">
        <f t="shared" ca="1" si="14"/>
        <v/>
      </c>
      <c r="I142" s="65"/>
      <c r="J142" s="64"/>
      <c r="K142" s="64"/>
      <c r="L142" s="64"/>
    </row>
    <row r="143" spans="1:12" ht="15" customHeight="1" x14ac:dyDescent="0.25">
      <c r="A143" s="64"/>
      <c r="B143" s="64"/>
      <c r="C143" s="64"/>
      <c r="D143" s="65"/>
      <c r="E143" s="64"/>
      <c r="F143" s="181" t="str">
        <f t="shared" si="12"/>
        <v/>
      </c>
      <c r="G143" s="182" t="str">
        <f t="shared" ca="1" si="13"/>
        <v/>
      </c>
      <c r="H143" s="183" t="str">
        <f t="shared" ca="1" si="14"/>
        <v/>
      </c>
      <c r="I143" s="65"/>
      <c r="J143" s="64"/>
      <c r="K143" s="64"/>
      <c r="L143" s="64"/>
    </row>
    <row r="144" spans="1:12" ht="15" customHeight="1" x14ac:dyDescent="0.25">
      <c r="A144" s="64"/>
      <c r="B144" s="64"/>
      <c r="C144" s="64"/>
      <c r="D144" s="65"/>
      <c r="E144" s="64"/>
      <c r="F144" s="181" t="str">
        <f t="shared" si="12"/>
        <v/>
      </c>
      <c r="G144" s="182" t="str">
        <f t="shared" ca="1" si="13"/>
        <v/>
      </c>
      <c r="H144" s="183" t="str">
        <f t="shared" ca="1" si="14"/>
        <v/>
      </c>
      <c r="I144" s="65"/>
      <c r="J144" s="64"/>
      <c r="K144" s="64"/>
      <c r="L144" s="64"/>
    </row>
    <row r="145" spans="1:12" ht="15" customHeight="1" x14ac:dyDescent="0.25">
      <c r="A145" s="64"/>
      <c r="B145" s="64"/>
      <c r="C145" s="64"/>
      <c r="D145" s="65"/>
      <c r="E145" s="64"/>
      <c r="F145" s="181" t="str">
        <f t="shared" si="12"/>
        <v/>
      </c>
      <c r="G145" s="182" t="str">
        <f t="shared" ca="1" si="13"/>
        <v/>
      </c>
      <c r="H145" s="183" t="str">
        <f t="shared" ca="1" si="14"/>
        <v/>
      </c>
      <c r="I145" s="65"/>
      <c r="J145" s="64"/>
      <c r="K145" s="64"/>
      <c r="L145" s="64"/>
    </row>
    <row r="146" spans="1:12" ht="15" customHeight="1" x14ac:dyDescent="0.25">
      <c r="A146" s="64"/>
      <c r="B146" s="64"/>
      <c r="C146" s="64"/>
      <c r="D146" s="65"/>
      <c r="E146" s="64"/>
      <c r="F146" s="181" t="str">
        <f t="shared" si="12"/>
        <v/>
      </c>
      <c r="G146" s="182" t="str">
        <f t="shared" ca="1" si="13"/>
        <v/>
      </c>
      <c r="H146" s="183" t="str">
        <f t="shared" ca="1" si="14"/>
        <v/>
      </c>
      <c r="I146" s="65"/>
      <c r="J146" s="64"/>
      <c r="K146" s="64"/>
      <c r="L146" s="64"/>
    </row>
    <row r="147" spans="1:12" ht="15" customHeight="1" x14ac:dyDescent="0.25">
      <c r="A147" s="64"/>
      <c r="B147" s="64"/>
      <c r="C147" s="64"/>
      <c r="D147" s="65"/>
      <c r="E147" s="64"/>
      <c r="F147" s="181" t="str">
        <f t="shared" si="12"/>
        <v/>
      </c>
      <c r="G147" s="182" t="str">
        <f t="shared" ca="1" si="13"/>
        <v/>
      </c>
      <c r="H147" s="183" t="str">
        <f t="shared" ca="1" si="14"/>
        <v/>
      </c>
      <c r="I147" s="65"/>
      <c r="J147" s="64"/>
      <c r="K147" s="64"/>
      <c r="L147" s="64"/>
    </row>
    <row r="148" spans="1:12" ht="15" customHeight="1" x14ac:dyDescent="0.25">
      <c r="A148" s="64"/>
      <c r="B148" s="64"/>
      <c r="C148" s="64"/>
      <c r="D148" s="65"/>
      <c r="E148" s="64"/>
      <c r="F148" s="181" t="str">
        <f t="shared" si="12"/>
        <v/>
      </c>
      <c r="G148" s="182" t="str">
        <f t="shared" ca="1" si="13"/>
        <v/>
      </c>
      <c r="H148" s="183" t="str">
        <f t="shared" ca="1" si="14"/>
        <v/>
      </c>
      <c r="I148" s="65"/>
      <c r="J148" s="64"/>
      <c r="K148" s="64"/>
      <c r="L148" s="64"/>
    </row>
    <row r="149" spans="1:12" ht="15" customHeight="1" x14ac:dyDescent="0.25">
      <c r="A149" s="64"/>
      <c r="B149" s="64"/>
      <c r="C149" s="64"/>
      <c r="D149" s="65"/>
      <c r="E149" s="64"/>
      <c r="F149" s="181" t="str">
        <f t="shared" si="12"/>
        <v/>
      </c>
      <c r="G149" s="182" t="str">
        <f t="shared" ca="1" si="13"/>
        <v/>
      </c>
      <c r="H149" s="183" t="str">
        <f t="shared" ca="1" si="14"/>
        <v/>
      </c>
      <c r="I149" s="65"/>
      <c r="J149" s="64"/>
      <c r="K149" s="64"/>
      <c r="L149" s="64"/>
    </row>
    <row r="150" spans="1:12" ht="15" customHeight="1" x14ac:dyDescent="0.25">
      <c r="A150" s="64"/>
      <c r="B150" s="64"/>
      <c r="C150" s="64"/>
      <c r="D150" s="65"/>
      <c r="E150" s="64"/>
      <c r="F150" s="181" t="str">
        <f t="shared" si="12"/>
        <v/>
      </c>
      <c r="G150" s="182" t="str">
        <f t="shared" ca="1" si="13"/>
        <v/>
      </c>
      <c r="H150" s="183" t="str">
        <f t="shared" ca="1" si="14"/>
        <v/>
      </c>
      <c r="I150" s="65"/>
      <c r="J150" s="64"/>
      <c r="K150" s="64"/>
      <c r="L150" s="64"/>
    </row>
    <row r="151" spans="1:12" ht="15" customHeight="1" x14ac:dyDescent="0.25">
      <c r="A151" s="64"/>
      <c r="B151" s="64"/>
      <c r="C151" s="64"/>
      <c r="D151" s="65"/>
      <c r="E151" s="64"/>
      <c r="F151" s="181" t="str">
        <f t="shared" si="12"/>
        <v/>
      </c>
      <c r="G151" s="182" t="str">
        <f t="shared" ca="1" si="13"/>
        <v/>
      </c>
      <c r="H151" s="183" t="str">
        <f t="shared" ca="1" si="14"/>
        <v/>
      </c>
      <c r="I151" s="65"/>
      <c r="J151" s="64"/>
      <c r="K151" s="64"/>
      <c r="L151" s="64"/>
    </row>
    <row r="152" spans="1:12" ht="15" customHeight="1" x14ac:dyDescent="0.25">
      <c r="A152" s="64"/>
      <c r="B152" s="64"/>
      <c r="C152" s="64"/>
      <c r="D152" s="65"/>
      <c r="E152" s="64"/>
      <c r="F152" s="181" t="str">
        <f t="shared" si="12"/>
        <v/>
      </c>
      <c r="G152" s="182" t="str">
        <f t="shared" ca="1" si="13"/>
        <v/>
      </c>
      <c r="H152" s="183" t="str">
        <f t="shared" ca="1" si="14"/>
        <v/>
      </c>
      <c r="I152" s="65"/>
      <c r="J152" s="64"/>
      <c r="K152" s="64"/>
      <c r="L152" s="64"/>
    </row>
    <row r="153" spans="1:12" ht="15" customHeight="1" x14ac:dyDescent="0.25">
      <c r="A153" s="64"/>
      <c r="B153" s="64"/>
      <c r="C153" s="64"/>
      <c r="D153" s="65"/>
      <c r="E153" s="64"/>
      <c r="F153" s="181" t="str">
        <f t="shared" si="12"/>
        <v/>
      </c>
      <c r="G153" s="182" t="str">
        <f t="shared" ca="1" si="13"/>
        <v/>
      </c>
      <c r="H153" s="183" t="str">
        <f t="shared" ca="1" si="14"/>
        <v/>
      </c>
      <c r="I153" s="65"/>
      <c r="J153" s="64"/>
      <c r="K153" s="64"/>
      <c r="L153" s="64"/>
    </row>
    <row r="154" spans="1:12" ht="15" customHeight="1" x14ac:dyDescent="0.25">
      <c r="A154" s="64"/>
      <c r="B154" s="64"/>
      <c r="C154" s="64"/>
      <c r="D154" s="65"/>
      <c r="E154" s="64"/>
      <c r="F154" s="181" t="str">
        <f t="shared" si="12"/>
        <v/>
      </c>
      <c r="G154" s="182" t="str">
        <f t="shared" ca="1" si="13"/>
        <v/>
      </c>
      <c r="H154" s="183" t="str">
        <f t="shared" ca="1" si="14"/>
        <v/>
      </c>
      <c r="I154" s="65"/>
      <c r="J154" s="64"/>
      <c r="K154" s="64"/>
      <c r="L154" s="64"/>
    </row>
    <row r="155" spans="1:12" ht="15" customHeight="1" x14ac:dyDescent="0.25">
      <c r="A155" s="64"/>
      <c r="B155" s="64"/>
      <c r="C155" s="64"/>
      <c r="D155" s="65"/>
      <c r="E155" s="64"/>
      <c r="F155" s="181" t="str">
        <f t="shared" si="12"/>
        <v/>
      </c>
      <c r="G155" s="182" t="str">
        <f t="shared" ca="1" si="13"/>
        <v/>
      </c>
      <c r="H155" s="183" t="str">
        <f t="shared" ca="1" si="14"/>
        <v/>
      </c>
      <c r="I155" s="65"/>
      <c r="J155" s="64"/>
      <c r="K155" s="64"/>
      <c r="L155" s="64"/>
    </row>
    <row r="156" spans="1:12" ht="15" customHeight="1" x14ac:dyDescent="0.25">
      <c r="A156" s="64"/>
      <c r="B156" s="64"/>
      <c r="C156" s="64"/>
      <c r="D156" s="65"/>
      <c r="E156" s="64"/>
      <c r="F156" s="181" t="str">
        <f t="shared" si="12"/>
        <v/>
      </c>
      <c r="G156" s="182" t="str">
        <f t="shared" ca="1" si="13"/>
        <v/>
      </c>
      <c r="H156" s="183" t="str">
        <f t="shared" ca="1" si="14"/>
        <v/>
      </c>
      <c r="I156" s="65"/>
      <c r="J156" s="64"/>
      <c r="K156" s="64"/>
      <c r="L156" s="64"/>
    </row>
    <row r="157" spans="1:12" ht="15" customHeight="1" x14ac:dyDescent="0.25">
      <c r="A157" s="64"/>
      <c r="B157" s="64"/>
      <c r="C157" s="64"/>
      <c r="D157" s="65"/>
      <c r="E157" s="64"/>
      <c r="F157" s="181" t="str">
        <f t="shared" si="12"/>
        <v/>
      </c>
      <c r="G157" s="182" t="str">
        <f t="shared" ca="1" si="13"/>
        <v/>
      </c>
      <c r="H157" s="183" t="str">
        <f t="shared" ca="1" si="14"/>
        <v/>
      </c>
      <c r="I157" s="65"/>
      <c r="J157" s="64"/>
      <c r="K157" s="64"/>
      <c r="L157" s="64"/>
    </row>
    <row r="158" spans="1:12" ht="15" customHeight="1" x14ac:dyDescent="0.25">
      <c r="A158" s="64"/>
      <c r="B158" s="64"/>
      <c r="C158" s="64"/>
      <c r="D158" s="65"/>
      <c r="E158" s="64"/>
      <c r="F158" s="181" t="str">
        <f t="shared" si="12"/>
        <v/>
      </c>
      <c r="G158" s="182" t="str">
        <f t="shared" ca="1" si="13"/>
        <v/>
      </c>
      <c r="H158" s="183" t="str">
        <f t="shared" ca="1" si="14"/>
        <v/>
      </c>
      <c r="I158" s="65"/>
      <c r="J158" s="64"/>
      <c r="K158" s="64"/>
      <c r="L158" s="64"/>
    </row>
    <row r="159" spans="1:12" ht="15" customHeight="1" x14ac:dyDescent="0.25">
      <c r="A159" s="64"/>
      <c r="B159" s="64"/>
      <c r="C159" s="64"/>
      <c r="D159" s="65"/>
      <c r="E159" s="64"/>
      <c r="F159" s="181" t="str">
        <f t="shared" si="12"/>
        <v/>
      </c>
      <c r="G159" s="182" t="str">
        <f t="shared" ca="1" si="13"/>
        <v/>
      </c>
      <c r="H159" s="183" t="str">
        <f t="shared" ca="1" si="14"/>
        <v/>
      </c>
      <c r="I159" s="65"/>
      <c r="J159" s="64"/>
      <c r="K159" s="64"/>
      <c r="L159" s="64"/>
    </row>
    <row r="160" spans="1:12" ht="15" customHeight="1" x14ac:dyDescent="0.25">
      <c r="A160" s="64"/>
      <c r="B160" s="64"/>
      <c r="C160" s="64"/>
      <c r="D160" s="65"/>
      <c r="E160" s="64"/>
      <c r="F160" s="181" t="str">
        <f t="shared" si="12"/>
        <v/>
      </c>
      <c r="G160" s="182" t="str">
        <f t="shared" ca="1" si="13"/>
        <v/>
      </c>
      <c r="H160" s="183" t="str">
        <f t="shared" ca="1" si="14"/>
        <v/>
      </c>
      <c r="I160" s="65"/>
      <c r="J160" s="64"/>
      <c r="K160" s="64"/>
      <c r="L160" s="64"/>
    </row>
    <row r="161" spans="1:12" ht="15" customHeight="1" x14ac:dyDescent="0.25">
      <c r="A161" s="64"/>
      <c r="B161" s="64"/>
      <c r="C161" s="64"/>
      <c r="D161" s="65"/>
      <c r="E161" s="64"/>
      <c r="F161" s="181" t="str">
        <f t="shared" si="12"/>
        <v/>
      </c>
      <c r="G161" s="182" t="str">
        <f t="shared" ca="1" si="13"/>
        <v/>
      </c>
      <c r="H161" s="183" t="str">
        <f t="shared" ca="1" si="14"/>
        <v/>
      </c>
      <c r="I161" s="65"/>
      <c r="J161" s="64"/>
      <c r="K161" s="64"/>
      <c r="L161" s="64"/>
    </row>
    <row r="162" spans="1:12" ht="15" customHeight="1" x14ac:dyDescent="0.25">
      <c r="A162" s="64"/>
      <c r="B162" s="64"/>
      <c r="C162" s="64"/>
      <c r="D162" s="65"/>
      <c r="E162" s="64"/>
      <c r="F162" s="181" t="str">
        <f t="shared" si="12"/>
        <v/>
      </c>
      <c r="G162" s="182" t="str">
        <f t="shared" ca="1" si="13"/>
        <v/>
      </c>
      <c r="H162" s="183" t="str">
        <f t="shared" ca="1" si="14"/>
        <v/>
      </c>
      <c r="I162" s="65"/>
      <c r="J162" s="64"/>
      <c r="K162" s="64"/>
      <c r="L162" s="64"/>
    </row>
    <row r="163" spans="1:12" ht="15" customHeight="1" x14ac:dyDescent="0.25">
      <c r="A163" s="64"/>
      <c r="B163" s="64"/>
      <c r="C163" s="64"/>
      <c r="D163" s="65"/>
      <c r="E163" s="64"/>
      <c r="F163" s="181" t="str">
        <f t="shared" ref="F163:F194" si="15">IFERROR(IF(OR(D163="",E163=""),"",EDATE(D163,E163)),"")</f>
        <v/>
      </c>
      <c r="G163" s="182" t="str">
        <f t="shared" ref="G163:G194" ca="1" si="16">IFERROR(IF(F163="","",F163-TODAY()),"")</f>
        <v/>
      </c>
      <c r="H163" s="183" t="str">
        <f t="shared" ref="H163:H194" ca="1" si="17">IFERROR(IF(G163="","",IF(G163&lt;0,"Expired",IF(G163&lt;60,"Expiring_soon","Active"))),"")</f>
        <v/>
      </c>
      <c r="I163" s="65"/>
      <c r="J163" s="64"/>
      <c r="K163" s="64"/>
      <c r="L163" s="64"/>
    </row>
    <row r="164" spans="1:12" ht="15" customHeight="1" x14ac:dyDescent="0.25">
      <c r="A164" s="64"/>
      <c r="B164" s="64"/>
      <c r="C164" s="64"/>
      <c r="D164" s="65"/>
      <c r="E164" s="64"/>
      <c r="F164" s="181" t="str">
        <f t="shared" si="15"/>
        <v/>
      </c>
      <c r="G164" s="182" t="str">
        <f t="shared" ca="1" si="16"/>
        <v/>
      </c>
      <c r="H164" s="183" t="str">
        <f t="shared" ca="1" si="17"/>
        <v/>
      </c>
      <c r="I164" s="65"/>
      <c r="J164" s="64"/>
      <c r="K164" s="64"/>
      <c r="L164" s="64"/>
    </row>
    <row r="165" spans="1:12" ht="15" customHeight="1" x14ac:dyDescent="0.25">
      <c r="A165" s="64"/>
      <c r="B165" s="64"/>
      <c r="C165" s="64"/>
      <c r="D165" s="65"/>
      <c r="E165" s="64"/>
      <c r="F165" s="181" t="str">
        <f t="shared" si="15"/>
        <v/>
      </c>
      <c r="G165" s="182" t="str">
        <f t="shared" ca="1" si="16"/>
        <v/>
      </c>
      <c r="H165" s="183" t="str">
        <f t="shared" ca="1" si="17"/>
        <v/>
      </c>
      <c r="I165" s="65"/>
      <c r="J165" s="64"/>
      <c r="K165" s="64"/>
      <c r="L165" s="64"/>
    </row>
    <row r="166" spans="1:12" ht="15" customHeight="1" x14ac:dyDescent="0.25">
      <c r="A166" s="64"/>
      <c r="B166" s="64"/>
      <c r="C166" s="64"/>
      <c r="D166" s="65"/>
      <c r="E166" s="64"/>
      <c r="F166" s="181" t="str">
        <f t="shared" si="15"/>
        <v/>
      </c>
      <c r="G166" s="182" t="str">
        <f t="shared" ca="1" si="16"/>
        <v/>
      </c>
      <c r="H166" s="183" t="str">
        <f t="shared" ca="1" si="17"/>
        <v/>
      </c>
      <c r="I166" s="65"/>
      <c r="J166" s="64"/>
      <c r="K166" s="64"/>
      <c r="L166" s="64"/>
    </row>
    <row r="167" spans="1:12" ht="15" customHeight="1" x14ac:dyDescent="0.25">
      <c r="A167" s="64"/>
      <c r="B167" s="64"/>
      <c r="C167" s="64"/>
      <c r="D167" s="65"/>
      <c r="E167" s="64"/>
      <c r="F167" s="181" t="str">
        <f t="shared" si="15"/>
        <v/>
      </c>
      <c r="G167" s="182" t="str">
        <f t="shared" ca="1" si="16"/>
        <v/>
      </c>
      <c r="H167" s="183" t="str">
        <f t="shared" ca="1" si="17"/>
        <v/>
      </c>
      <c r="I167" s="65"/>
      <c r="J167" s="64"/>
      <c r="K167" s="64"/>
      <c r="L167" s="64"/>
    </row>
    <row r="168" spans="1:12" ht="15" customHeight="1" x14ac:dyDescent="0.25">
      <c r="A168" s="64"/>
      <c r="B168" s="64"/>
      <c r="C168" s="64"/>
      <c r="D168" s="65"/>
      <c r="E168" s="64"/>
      <c r="F168" s="181" t="str">
        <f t="shared" si="15"/>
        <v/>
      </c>
      <c r="G168" s="182" t="str">
        <f t="shared" ca="1" si="16"/>
        <v/>
      </c>
      <c r="H168" s="183" t="str">
        <f t="shared" ca="1" si="17"/>
        <v/>
      </c>
      <c r="I168" s="65"/>
      <c r="J168" s="64"/>
      <c r="K168" s="64"/>
      <c r="L168" s="64"/>
    </row>
    <row r="169" spans="1:12" ht="15" customHeight="1" x14ac:dyDescent="0.25">
      <c r="A169" s="64"/>
      <c r="B169" s="64"/>
      <c r="C169" s="64"/>
      <c r="D169" s="65"/>
      <c r="E169" s="64"/>
      <c r="F169" s="181" t="str">
        <f t="shared" si="15"/>
        <v/>
      </c>
      <c r="G169" s="182" t="str">
        <f t="shared" ca="1" si="16"/>
        <v/>
      </c>
      <c r="H169" s="183" t="str">
        <f t="shared" ca="1" si="17"/>
        <v/>
      </c>
      <c r="I169" s="65"/>
      <c r="J169" s="64"/>
      <c r="K169" s="64"/>
      <c r="L169" s="64"/>
    </row>
    <row r="170" spans="1:12" ht="15" customHeight="1" x14ac:dyDescent="0.25">
      <c r="A170" s="64"/>
      <c r="B170" s="64"/>
      <c r="C170" s="64"/>
      <c r="D170" s="65"/>
      <c r="E170" s="64"/>
      <c r="F170" s="181" t="str">
        <f t="shared" si="15"/>
        <v/>
      </c>
      <c r="G170" s="182" t="str">
        <f t="shared" ca="1" si="16"/>
        <v/>
      </c>
      <c r="H170" s="183" t="str">
        <f t="shared" ca="1" si="17"/>
        <v/>
      </c>
      <c r="I170" s="65"/>
      <c r="J170" s="64"/>
      <c r="K170" s="64"/>
      <c r="L170" s="64"/>
    </row>
    <row r="171" spans="1:12" ht="15" customHeight="1" x14ac:dyDescent="0.25">
      <c r="A171" s="64"/>
      <c r="B171" s="64"/>
      <c r="C171" s="64"/>
      <c r="D171" s="65"/>
      <c r="E171" s="64"/>
      <c r="F171" s="181" t="str">
        <f t="shared" si="15"/>
        <v/>
      </c>
      <c r="G171" s="182" t="str">
        <f t="shared" ca="1" si="16"/>
        <v/>
      </c>
      <c r="H171" s="183" t="str">
        <f t="shared" ca="1" si="17"/>
        <v/>
      </c>
      <c r="I171" s="65"/>
      <c r="J171" s="64"/>
      <c r="K171" s="64"/>
      <c r="L171" s="64"/>
    </row>
    <row r="172" spans="1:12" ht="15" customHeight="1" x14ac:dyDescent="0.25">
      <c r="A172" s="64"/>
      <c r="B172" s="64"/>
      <c r="C172" s="64"/>
      <c r="D172" s="65"/>
      <c r="E172" s="64"/>
      <c r="F172" s="181" t="str">
        <f t="shared" si="15"/>
        <v/>
      </c>
      <c r="G172" s="182" t="str">
        <f t="shared" ca="1" si="16"/>
        <v/>
      </c>
      <c r="H172" s="183" t="str">
        <f t="shared" ca="1" si="17"/>
        <v/>
      </c>
      <c r="I172" s="65"/>
      <c r="J172" s="64"/>
      <c r="K172" s="64"/>
      <c r="L172" s="64"/>
    </row>
    <row r="173" spans="1:12" ht="15" customHeight="1" x14ac:dyDescent="0.25">
      <c r="A173" s="64"/>
      <c r="B173" s="64"/>
      <c r="C173" s="64"/>
      <c r="D173" s="65"/>
      <c r="E173" s="64"/>
      <c r="F173" s="181" t="str">
        <f t="shared" si="15"/>
        <v/>
      </c>
      <c r="G173" s="182" t="str">
        <f t="shared" ca="1" si="16"/>
        <v/>
      </c>
      <c r="H173" s="183" t="str">
        <f t="shared" ca="1" si="17"/>
        <v/>
      </c>
      <c r="I173" s="65"/>
      <c r="J173" s="64"/>
      <c r="K173" s="64"/>
      <c r="L173" s="64"/>
    </row>
    <row r="174" spans="1:12" ht="15" customHeight="1" x14ac:dyDescent="0.25">
      <c r="A174" s="64"/>
      <c r="B174" s="64"/>
      <c r="C174" s="64"/>
      <c r="D174" s="65"/>
      <c r="E174" s="64"/>
      <c r="F174" s="181" t="str">
        <f t="shared" si="15"/>
        <v/>
      </c>
      <c r="G174" s="182" t="str">
        <f t="shared" ca="1" si="16"/>
        <v/>
      </c>
      <c r="H174" s="183" t="str">
        <f t="shared" ca="1" si="17"/>
        <v/>
      </c>
      <c r="I174" s="65"/>
      <c r="J174" s="64"/>
      <c r="K174" s="64"/>
      <c r="L174" s="64"/>
    </row>
    <row r="175" spans="1:12" ht="15" customHeight="1" x14ac:dyDescent="0.25">
      <c r="A175" s="64"/>
      <c r="B175" s="64"/>
      <c r="C175" s="64"/>
      <c r="D175" s="65"/>
      <c r="E175" s="64"/>
      <c r="F175" s="181" t="str">
        <f t="shared" si="15"/>
        <v/>
      </c>
      <c r="G175" s="182" t="str">
        <f t="shared" ca="1" si="16"/>
        <v/>
      </c>
      <c r="H175" s="183" t="str">
        <f t="shared" ca="1" si="17"/>
        <v/>
      </c>
      <c r="I175" s="65"/>
      <c r="J175" s="64"/>
      <c r="K175" s="64"/>
      <c r="L175" s="64"/>
    </row>
    <row r="176" spans="1:12" ht="15" customHeight="1" x14ac:dyDescent="0.25">
      <c r="A176" s="64"/>
      <c r="B176" s="64"/>
      <c r="C176" s="64"/>
      <c r="D176" s="65"/>
      <c r="E176" s="64"/>
      <c r="F176" s="181" t="str">
        <f t="shared" si="15"/>
        <v/>
      </c>
      <c r="G176" s="182" t="str">
        <f t="shared" ca="1" si="16"/>
        <v/>
      </c>
      <c r="H176" s="183" t="str">
        <f t="shared" ca="1" si="17"/>
        <v/>
      </c>
      <c r="I176" s="65"/>
      <c r="J176" s="64"/>
      <c r="K176" s="64"/>
      <c r="L176" s="64"/>
    </row>
    <row r="177" spans="1:12" ht="15" customHeight="1" x14ac:dyDescent="0.25">
      <c r="A177" s="64"/>
      <c r="B177" s="64"/>
      <c r="C177" s="64"/>
      <c r="D177" s="65"/>
      <c r="E177" s="64"/>
      <c r="F177" s="181" t="str">
        <f t="shared" si="15"/>
        <v/>
      </c>
      <c r="G177" s="182" t="str">
        <f t="shared" ca="1" si="16"/>
        <v/>
      </c>
      <c r="H177" s="183" t="str">
        <f t="shared" ca="1" si="17"/>
        <v/>
      </c>
      <c r="I177" s="65"/>
      <c r="J177" s="64"/>
      <c r="K177" s="64"/>
      <c r="L177" s="64"/>
    </row>
    <row r="178" spans="1:12" ht="15" customHeight="1" x14ac:dyDescent="0.25">
      <c r="A178" s="64"/>
      <c r="B178" s="64"/>
      <c r="C178" s="64"/>
      <c r="D178" s="65"/>
      <c r="E178" s="64"/>
      <c r="F178" s="181" t="str">
        <f t="shared" si="15"/>
        <v/>
      </c>
      <c r="G178" s="182" t="str">
        <f t="shared" ca="1" si="16"/>
        <v/>
      </c>
      <c r="H178" s="183" t="str">
        <f t="shared" ca="1" si="17"/>
        <v/>
      </c>
      <c r="I178" s="65"/>
      <c r="J178" s="64"/>
      <c r="K178" s="64"/>
      <c r="L178" s="64"/>
    </row>
    <row r="179" spans="1:12" ht="15" customHeight="1" x14ac:dyDescent="0.25">
      <c r="A179" s="64"/>
      <c r="B179" s="64"/>
      <c r="C179" s="64"/>
      <c r="D179" s="65"/>
      <c r="E179" s="64"/>
      <c r="F179" s="181" t="str">
        <f t="shared" si="15"/>
        <v/>
      </c>
      <c r="G179" s="182" t="str">
        <f t="shared" ca="1" si="16"/>
        <v/>
      </c>
      <c r="H179" s="183" t="str">
        <f t="shared" ca="1" si="17"/>
        <v/>
      </c>
      <c r="I179" s="65"/>
      <c r="J179" s="64"/>
      <c r="K179" s="64"/>
      <c r="L179" s="64"/>
    </row>
    <row r="180" spans="1:12" ht="15" customHeight="1" x14ac:dyDescent="0.25">
      <c r="A180" s="64"/>
      <c r="B180" s="64"/>
      <c r="C180" s="64"/>
      <c r="D180" s="65"/>
      <c r="E180" s="64"/>
      <c r="F180" s="181" t="str">
        <f t="shared" si="15"/>
        <v/>
      </c>
      <c r="G180" s="182" t="str">
        <f t="shared" ca="1" si="16"/>
        <v/>
      </c>
      <c r="H180" s="183" t="str">
        <f t="shared" ca="1" si="17"/>
        <v/>
      </c>
      <c r="I180" s="65"/>
      <c r="J180" s="64"/>
      <c r="K180" s="64"/>
      <c r="L180" s="64"/>
    </row>
    <row r="181" spans="1:12" ht="15" customHeight="1" x14ac:dyDescent="0.25">
      <c r="A181" s="64"/>
      <c r="B181" s="64"/>
      <c r="C181" s="64"/>
      <c r="D181" s="65"/>
      <c r="E181" s="64"/>
      <c r="F181" s="181" t="str">
        <f t="shared" si="15"/>
        <v/>
      </c>
      <c r="G181" s="182" t="str">
        <f t="shared" ca="1" si="16"/>
        <v/>
      </c>
      <c r="H181" s="183" t="str">
        <f t="shared" ca="1" si="17"/>
        <v/>
      </c>
      <c r="I181" s="65"/>
      <c r="J181" s="64"/>
      <c r="K181" s="64"/>
      <c r="L181" s="64"/>
    </row>
    <row r="182" spans="1:12" ht="15" customHeight="1" x14ac:dyDescent="0.25">
      <c r="A182" s="64"/>
      <c r="B182" s="64"/>
      <c r="C182" s="64"/>
      <c r="D182" s="65"/>
      <c r="E182" s="64"/>
      <c r="F182" s="181" t="str">
        <f t="shared" si="15"/>
        <v/>
      </c>
      <c r="G182" s="182" t="str">
        <f t="shared" ca="1" si="16"/>
        <v/>
      </c>
      <c r="H182" s="183" t="str">
        <f t="shared" ca="1" si="17"/>
        <v/>
      </c>
      <c r="I182" s="65"/>
      <c r="J182" s="64"/>
      <c r="K182" s="64"/>
      <c r="L182" s="64"/>
    </row>
    <row r="183" spans="1:12" ht="15" customHeight="1" x14ac:dyDescent="0.25">
      <c r="A183" s="64"/>
      <c r="B183" s="64"/>
      <c r="C183" s="64"/>
      <c r="D183" s="65"/>
      <c r="E183" s="64"/>
      <c r="F183" s="181" t="str">
        <f t="shared" si="15"/>
        <v/>
      </c>
      <c r="G183" s="182" t="str">
        <f t="shared" ca="1" si="16"/>
        <v/>
      </c>
      <c r="H183" s="183" t="str">
        <f t="shared" ca="1" si="17"/>
        <v/>
      </c>
      <c r="I183" s="65"/>
      <c r="J183" s="64"/>
      <c r="K183" s="64"/>
      <c r="L183" s="64"/>
    </row>
    <row r="184" spans="1:12" ht="15" customHeight="1" x14ac:dyDescent="0.25">
      <c r="A184" s="64"/>
      <c r="B184" s="64"/>
      <c r="C184" s="64"/>
      <c r="D184" s="65"/>
      <c r="E184" s="64"/>
      <c r="F184" s="181" t="str">
        <f t="shared" si="15"/>
        <v/>
      </c>
      <c r="G184" s="182" t="str">
        <f t="shared" ca="1" si="16"/>
        <v/>
      </c>
      <c r="H184" s="183" t="str">
        <f t="shared" ca="1" si="17"/>
        <v/>
      </c>
      <c r="I184" s="65"/>
      <c r="J184" s="64"/>
      <c r="K184" s="64"/>
      <c r="L184" s="64"/>
    </row>
    <row r="185" spans="1:12" ht="15" customHeight="1" x14ac:dyDescent="0.25">
      <c r="A185" s="64"/>
      <c r="B185" s="64"/>
      <c r="C185" s="64"/>
      <c r="D185" s="65"/>
      <c r="E185" s="64"/>
      <c r="F185" s="181" t="str">
        <f t="shared" si="15"/>
        <v/>
      </c>
      <c r="G185" s="182" t="str">
        <f t="shared" ca="1" si="16"/>
        <v/>
      </c>
      <c r="H185" s="183" t="str">
        <f t="shared" ca="1" si="17"/>
        <v/>
      </c>
      <c r="I185" s="65"/>
      <c r="J185" s="64"/>
      <c r="K185" s="64"/>
      <c r="L185" s="64"/>
    </row>
    <row r="186" spans="1:12" ht="15" customHeight="1" x14ac:dyDescent="0.25">
      <c r="A186" s="64"/>
      <c r="B186" s="64"/>
      <c r="C186" s="64"/>
      <c r="D186" s="65"/>
      <c r="E186" s="64"/>
      <c r="F186" s="181" t="str">
        <f t="shared" si="15"/>
        <v/>
      </c>
      <c r="G186" s="182" t="str">
        <f t="shared" ca="1" si="16"/>
        <v/>
      </c>
      <c r="H186" s="183" t="str">
        <f t="shared" ca="1" si="17"/>
        <v/>
      </c>
      <c r="I186" s="65"/>
      <c r="J186" s="64"/>
      <c r="K186" s="64"/>
      <c r="L186" s="64"/>
    </row>
    <row r="187" spans="1:12" ht="15" customHeight="1" x14ac:dyDescent="0.25">
      <c r="A187" s="64"/>
      <c r="B187" s="64"/>
      <c r="C187" s="64"/>
      <c r="D187" s="65"/>
      <c r="E187" s="64"/>
      <c r="F187" s="181" t="str">
        <f t="shared" si="15"/>
        <v/>
      </c>
      <c r="G187" s="182" t="str">
        <f t="shared" ca="1" si="16"/>
        <v/>
      </c>
      <c r="H187" s="183" t="str">
        <f t="shared" ca="1" si="17"/>
        <v/>
      </c>
      <c r="I187" s="65"/>
      <c r="J187" s="64"/>
      <c r="K187" s="64"/>
      <c r="L187" s="64"/>
    </row>
    <row r="188" spans="1:12" ht="15" customHeight="1" x14ac:dyDescent="0.25">
      <c r="A188" s="64"/>
      <c r="B188" s="64"/>
      <c r="C188" s="64"/>
      <c r="D188" s="65"/>
      <c r="E188" s="64"/>
      <c r="F188" s="181" t="str">
        <f t="shared" si="15"/>
        <v/>
      </c>
      <c r="G188" s="182" t="str">
        <f t="shared" ca="1" si="16"/>
        <v/>
      </c>
      <c r="H188" s="183" t="str">
        <f t="shared" ca="1" si="17"/>
        <v/>
      </c>
      <c r="I188" s="65"/>
      <c r="J188" s="64"/>
      <c r="K188" s="64"/>
      <c r="L188" s="64"/>
    </row>
    <row r="189" spans="1:12" ht="15" customHeight="1" x14ac:dyDescent="0.25">
      <c r="A189" s="64"/>
      <c r="B189" s="64"/>
      <c r="C189" s="64"/>
      <c r="D189" s="65"/>
      <c r="E189" s="64"/>
      <c r="F189" s="181" t="str">
        <f t="shared" si="15"/>
        <v/>
      </c>
      <c r="G189" s="182" t="str">
        <f t="shared" ca="1" si="16"/>
        <v/>
      </c>
      <c r="H189" s="183" t="str">
        <f t="shared" ca="1" si="17"/>
        <v/>
      </c>
      <c r="I189" s="65"/>
      <c r="J189" s="64"/>
      <c r="K189" s="64"/>
      <c r="L189" s="64"/>
    </row>
    <row r="190" spans="1:12" ht="15" customHeight="1" x14ac:dyDescent="0.25">
      <c r="A190" s="64"/>
      <c r="B190" s="64"/>
      <c r="C190" s="64"/>
      <c r="D190" s="65"/>
      <c r="E190" s="64"/>
      <c r="F190" s="181" t="str">
        <f t="shared" si="15"/>
        <v/>
      </c>
      <c r="G190" s="182" t="str">
        <f t="shared" ca="1" si="16"/>
        <v/>
      </c>
      <c r="H190" s="183" t="str">
        <f t="shared" ca="1" si="17"/>
        <v/>
      </c>
      <c r="I190" s="65"/>
      <c r="J190" s="64"/>
      <c r="K190" s="64"/>
      <c r="L190" s="64"/>
    </row>
    <row r="191" spans="1:12" ht="15" customHeight="1" x14ac:dyDescent="0.25">
      <c r="A191" s="64"/>
      <c r="B191" s="64"/>
      <c r="C191" s="64"/>
      <c r="D191" s="65"/>
      <c r="E191" s="64"/>
      <c r="F191" s="181" t="str">
        <f t="shared" si="15"/>
        <v/>
      </c>
      <c r="G191" s="182" t="str">
        <f t="shared" ca="1" si="16"/>
        <v/>
      </c>
      <c r="H191" s="183" t="str">
        <f t="shared" ca="1" si="17"/>
        <v/>
      </c>
      <c r="I191" s="65"/>
      <c r="J191" s="64"/>
      <c r="K191" s="64"/>
      <c r="L191" s="64"/>
    </row>
    <row r="192" spans="1:12" ht="15" customHeight="1" x14ac:dyDescent="0.25">
      <c r="A192" s="64"/>
      <c r="B192" s="64"/>
      <c r="C192" s="64"/>
      <c r="D192" s="65"/>
      <c r="E192" s="64"/>
      <c r="F192" s="181" t="str">
        <f t="shared" si="15"/>
        <v/>
      </c>
      <c r="G192" s="182" t="str">
        <f t="shared" ca="1" si="16"/>
        <v/>
      </c>
      <c r="H192" s="183" t="str">
        <f t="shared" ca="1" si="17"/>
        <v/>
      </c>
      <c r="I192" s="65"/>
      <c r="J192" s="64"/>
      <c r="K192" s="64"/>
      <c r="L192" s="64"/>
    </row>
    <row r="193" spans="1:12" ht="15" customHeight="1" x14ac:dyDescent="0.25">
      <c r="A193" s="64"/>
      <c r="B193" s="64"/>
      <c r="C193" s="64"/>
      <c r="D193" s="65"/>
      <c r="E193" s="64"/>
      <c r="F193" s="181" t="str">
        <f t="shared" si="15"/>
        <v/>
      </c>
      <c r="G193" s="182" t="str">
        <f t="shared" ca="1" si="16"/>
        <v/>
      </c>
      <c r="H193" s="183" t="str">
        <f t="shared" ca="1" si="17"/>
        <v/>
      </c>
      <c r="I193" s="65"/>
      <c r="J193" s="64"/>
      <c r="K193" s="64"/>
      <c r="L193" s="64"/>
    </row>
    <row r="194" spans="1:12" ht="15" customHeight="1" x14ac:dyDescent="0.25">
      <c r="A194" s="64"/>
      <c r="B194" s="64"/>
      <c r="C194" s="64"/>
      <c r="D194" s="65"/>
      <c r="E194" s="64"/>
      <c r="F194" s="181" t="str">
        <f t="shared" si="15"/>
        <v/>
      </c>
      <c r="G194" s="182" t="str">
        <f t="shared" ca="1" si="16"/>
        <v/>
      </c>
      <c r="H194" s="183" t="str">
        <f t="shared" ca="1" si="17"/>
        <v/>
      </c>
      <c r="I194" s="65"/>
      <c r="J194" s="64"/>
      <c r="K194" s="64"/>
      <c r="L194" s="64"/>
    </row>
    <row r="195" spans="1:12" ht="15" customHeight="1" x14ac:dyDescent="0.25">
      <c r="A195" s="64"/>
      <c r="B195" s="64"/>
      <c r="C195" s="64"/>
      <c r="D195" s="65"/>
      <c r="E195" s="64"/>
      <c r="F195" s="181" t="str">
        <f t="shared" ref="F195:F202" si="18">IFERROR(IF(OR(D195="",E195=""),"",EDATE(D195,E195)),"")</f>
        <v/>
      </c>
      <c r="G195" s="182" t="str">
        <f t="shared" ref="G195:G202" ca="1" si="19">IFERROR(IF(F195="","",F195-TODAY()),"")</f>
        <v/>
      </c>
      <c r="H195" s="183" t="str">
        <f t="shared" ref="H195:H202" ca="1" si="20">IFERROR(IF(G195="","",IF(G195&lt;0,"Expired",IF(G195&lt;60,"Expiring_soon","Active"))),"")</f>
        <v/>
      </c>
      <c r="I195" s="65"/>
      <c r="J195" s="64"/>
      <c r="K195" s="64"/>
      <c r="L195" s="64"/>
    </row>
    <row r="196" spans="1:12" ht="15" customHeight="1" x14ac:dyDescent="0.25">
      <c r="A196" s="64"/>
      <c r="B196" s="64"/>
      <c r="C196" s="64"/>
      <c r="D196" s="65"/>
      <c r="E196" s="64"/>
      <c r="F196" s="181" t="str">
        <f t="shared" si="18"/>
        <v/>
      </c>
      <c r="G196" s="182" t="str">
        <f t="shared" ca="1" si="19"/>
        <v/>
      </c>
      <c r="H196" s="183" t="str">
        <f t="shared" ca="1" si="20"/>
        <v/>
      </c>
      <c r="I196" s="65"/>
      <c r="J196" s="64"/>
      <c r="K196" s="64"/>
      <c r="L196" s="64"/>
    </row>
    <row r="197" spans="1:12" ht="15" customHeight="1" x14ac:dyDescent="0.25">
      <c r="A197" s="64"/>
      <c r="B197" s="64"/>
      <c r="C197" s="64"/>
      <c r="D197" s="65"/>
      <c r="E197" s="64"/>
      <c r="F197" s="181" t="str">
        <f t="shared" si="18"/>
        <v/>
      </c>
      <c r="G197" s="182" t="str">
        <f t="shared" ca="1" si="19"/>
        <v/>
      </c>
      <c r="H197" s="183" t="str">
        <f t="shared" ca="1" si="20"/>
        <v/>
      </c>
      <c r="I197" s="65"/>
      <c r="J197" s="64"/>
      <c r="K197" s="64"/>
      <c r="L197" s="64"/>
    </row>
    <row r="198" spans="1:12" ht="15" customHeight="1" x14ac:dyDescent="0.25">
      <c r="A198" s="64"/>
      <c r="B198" s="64"/>
      <c r="C198" s="64"/>
      <c r="D198" s="65"/>
      <c r="E198" s="64"/>
      <c r="F198" s="181" t="str">
        <f t="shared" si="18"/>
        <v/>
      </c>
      <c r="G198" s="182" t="str">
        <f t="shared" ca="1" si="19"/>
        <v/>
      </c>
      <c r="H198" s="183" t="str">
        <f t="shared" ca="1" si="20"/>
        <v/>
      </c>
      <c r="I198" s="65"/>
      <c r="J198" s="64"/>
      <c r="K198" s="64"/>
      <c r="L198" s="64"/>
    </row>
    <row r="199" spans="1:12" ht="15" customHeight="1" x14ac:dyDescent="0.25">
      <c r="A199" s="64"/>
      <c r="B199" s="64"/>
      <c r="C199" s="64"/>
      <c r="D199" s="65"/>
      <c r="E199" s="64"/>
      <c r="F199" s="181" t="str">
        <f t="shared" si="18"/>
        <v/>
      </c>
      <c r="G199" s="182" t="str">
        <f t="shared" ca="1" si="19"/>
        <v/>
      </c>
      <c r="H199" s="183" t="str">
        <f t="shared" ca="1" si="20"/>
        <v/>
      </c>
      <c r="I199" s="65"/>
      <c r="J199" s="64"/>
      <c r="K199" s="64"/>
      <c r="L199" s="64"/>
    </row>
    <row r="200" spans="1:12" ht="15" customHeight="1" x14ac:dyDescent="0.25">
      <c r="A200" s="64"/>
      <c r="B200" s="64"/>
      <c r="C200" s="64"/>
      <c r="D200" s="65"/>
      <c r="E200" s="64"/>
      <c r="F200" s="181" t="str">
        <f t="shared" si="18"/>
        <v/>
      </c>
      <c r="G200" s="182" t="str">
        <f t="shared" ca="1" si="19"/>
        <v/>
      </c>
      <c r="H200" s="183" t="str">
        <f t="shared" ca="1" si="20"/>
        <v/>
      </c>
      <c r="I200" s="65"/>
      <c r="J200" s="64"/>
      <c r="K200" s="64"/>
      <c r="L200" s="64"/>
    </row>
    <row r="201" spans="1:12" ht="15" customHeight="1" x14ac:dyDescent="0.25">
      <c r="A201" s="64"/>
      <c r="B201" s="64"/>
      <c r="C201" s="64"/>
      <c r="D201" s="65"/>
      <c r="E201" s="64"/>
      <c r="F201" s="181" t="str">
        <f t="shared" si="18"/>
        <v/>
      </c>
      <c r="G201" s="182" t="str">
        <f t="shared" ca="1" si="19"/>
        <v/>
      </c>
      <c r="H201" s="183" t="str">
        <f t="shared" ca="1" si="20"/>
        <v/>
      </c>
      <c r="I201" s="65"/>
      <c r="J201" s="64"/>
      <c r="K201" s="64"/>
      <c r="L201" s="64"/>
    </row>
    <row r="202" spans="1:12" ht="15" customHeight="1" x14ac:dyDescent="0.25">
      <c r="A202" s="64"/>
      <c r="B202" s="64"/>
      <c r="C202" s="64"/>
      <c r="D202" s="65"/>
      <c r="E202" s="64"/>
      <c r="F202" s="181" t="str">
        <f t="shared" si="18"/>
        <v/>
      </c>
      <c r="G202" s="182" t="str">
        <f t="shared" ca="1" si="19"/>
        <v/>
      </c>
      <c r="H202" s="183" t="str">
        <f t="shared" ca="1" si="20"/>
        <v/>
      </c>
      <c r="I202" s="65"/>
      <c r="J202" s="64"/>
      <c r="K202" s="64"/>
      <c r="L202" s="6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H3:H202">
    <cfRule type="cellIs" dxfId="22" priority="2" operator="equal">
      <formula>"Active"</formula>
    </cfRule>
    <cfRule type="cellIs" dxfId="21" priority="3" operator="equal">
      <formula>"Expiring_soon"</formula>
    </cfRule>
    <cfRule type="cellIs" dxfId="20" priority="4" operator="equal">
      <formula>"Expired"</formula>
    </cfRule>
    <cfRule type="cellIs" dxfId="19" priority="5" operator="equal">
      <formula>"Claimed"</formula>
    </cfRule>
  </conditionalFormatting>
  <conditionalFormatting sqref="K3:K202">
    <cfRule type="cellIs" dxfId="18" priority="6" operator="equal">
      <formula>"Yes"</formula>
    </cfRule>
  </conditionalFormatting>
  <dataValidations count="3">
    <dataValidation type="list" allowBlank="1" sqref="H3:H202" xr:uid="{00000000-0002-0000-1B00-000000000000}">
      <formula1>"Active,Expiring_soon,Expired,Claimed"</formula1>
      <formula2>0</formula2>
    </dataValidation>
    <dataValidation type="list" allowBlank="1" sqref="J3:J202" xr:uid="{00000000-0002-0000-1B00-000001000000}">
      <formula1>"OK,Minor_issue,Major_issue,Needs_replacement"</formula1>
      <formula2>0</formula2>
    </dataValidation>
    <dataValidation type="list" allowBlank="1" sqref="K3:K202" xr:uid="{00000000-0002-0000-1B00-000002000000}">
      <formula1>List_YesNo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</sheetPr>
  <dimension ref="A1:C90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22" customWidth="1"/>
    <col min="2" max="2" width="110" customWidth="1"/>
    <col min="3" max="3" width="80" customWidth="1"/>
  </cols>
  <sheetData>
    <row r="1" spans="1:3" ht="36" customHeight="1" x14ac:dyDescent="0.25">
      <c r="A1" s="15" t="s">
        <v>78</v>
      </c>
      <c r="B1" s="15"/>
      <c r="C1" s="15"/>
    </row>
    <row r="3" spans="1:3" ht="25.5" customHeight="1" x14ac:dyDescent="0.25">
      <c r="A3" s="56" t="s">
        <v>79</v>
      </c>
      <c r="B3" s="56"/>
      <c r="C3" s="56"/>
    </row>
    <row r="4" spans="1:3" ht="15" customHeight="1" x14ac:dyDescent="0.25">
      <c r="B4" s="6" t="s">
        <v>80</v>
      </c>
      <c r="C4" s="7" t="s">
        <v>81</v>
      </c>
    </row>
    <row r="5" spans="1:3" ht="15" customHeight="1" x14ac:dyDescent="0.25">
      <c r="B5" s="6" t="s">
        <v>82</v>
      </c>
      <c r="C5" s="7" t="s">
        <v>83</v>
      </c>
    </row>
    <row r="6" spans="1:3" ht="15" customHeight="1" x14ac:dyDescent="0.25">
      <c r="B6" s="6" t="s">
        <v>84</v>
      </c>
      <c r="C6" s="7" t="s">
        <v>85</v>
      </c>
    </row>
    <row r="7" spans="1:3" ht="15" customHeight="1" x14ac:dyDescent="0.25">
      <c r="B7" s="6" t="s">
        <v>86</v>
      </c>
      <c r="C7" s="7" t="s">
        <v>87</v>
      </c>
    </row>
    <row r="8" spans="1:3" ht="15" customHeight="1" x14ac:dyDescent="0.25">
      <c r="B8" s="6" t="s">
        <v>88</v>
      </c>
      <c r="C8" s="7" t="s">
        <v>89</v>
      </c>
    </row>
    <row r="10" spans="1:3" ht="25.5" customHeight="1" x14ac:dyDescent="0.25">
      <c r="A10" s="56" t="s">
        <v>90</v>
      </c>
      <c r="B10" s="56"/>
      <c r="C10" s="56"/>
    </row>
    <row r="11" spans="1:3" ht="39" customHeight="1" x14ac:dyDescent="0.25">
      <c r="B11" s="6" t="s">
        <v>91</v>
      </c>
      <c r="C11" s="7" t="s">
        <v>92</v>
      </c>
    </row>
    <row r="12" spans="1:3" ht="26.25" customHeight="1" x14ac:dyDescent="0.25">
      <c r="B12" s="6" t="s">
        <v>93</v>
      </c>
      <c r="C12" s="7" t="s">
        <v>94</v>
      </c>
    </row>
    <row r="13" spans="1:3" ht="26.25" customHeight="1" x14ac:dyDescent="0.25">
      <c r="B13" s="6" t="s">
        <v>95</v>
      </c>
      <c r="C13" s="7" t="s">
        <v>96</v>
      </c>
    </row>
    <row r="14" spans="1:3" ht="26.25" customHeight="1" x14ac:dyDescent="0.25">
      <c r="B14" s="6" t="s">
        <v>97</v>
      </c>
      <c r="C14" s="7" t="s">
        <v>98</v>
      </c>
    </row>
    <row r="15" spans="1:3" ht="39" customHeight="1" x14ac:dyDescent="0.25">
      <c r="B15" s="6" t="s">
        <v>99</v>
      </c>
      <c r="C15" s="7" t="s">
        <v>100</v>
      </c>
    </row>
    <row r="16" spans="1:3" ht="15" customHeight="1" x14ac:dyDescent="0.25">
      <c r="B16" s="6" t="s">
        <v>101</v>
      </c>
      <c r="C16" s="7" t="s">
        <v>102</v>
      </c>
    </row>
    <row r="17" spans="1:3" ht="26.25" customHeight="1" x14ac:dyDescent="0.25">
      <c r="B17" s="6" t="s">
        <v>103</v>
      </c>
      <c r="C17" s="7" t="s">
        <v>104</v>
      </c>
    </row>
    <row r="18" spans="1:3" ht="26.25" customHeight="1" x14ac:dyDescent="0.25">
      <c r="B18" s="6" t="s">
        <v>105</v>
      </c>
      <c r="C18" s="7" t="s">
        <v>106</v>
      </c>
    </row>
    <row r="19" spans="1:3" ht="26.25" customHeight="1" x14ac:dyDescent="0.25">
      <c r="B19" s="6" t="s">
        <v>107</v>
      </c>
      <c r="C19" s="7" t="s">
        <v>108</v>
      </c>
    </row>
    <row r="20" spans="1:3" ht="26.25" customHeight="1" x14ac:dyDescent="0.25">
      <c r="B20" s="6" t="s">
        <v>109</v>
      </c>
      <c r="C20" s="7" t="s">
        <v>110</v>
      </c>
    </row>
    <row r="21" spans="1:3" ht="26.25" customHeight="1" x14ac:dyDescent="0.25">
      <c r="B21" s="6" t="s">
        <v>111</v>
      </c>
      <c r="C21" s="7" t="s">
        <v>112</v>
      </c>
    </row>
    <row r="22" spans="1:3" ht="15" customHeight="1" x14ac:dyDescent="0.25">
      <c r="B22" s="6" t="s">
        <v>113</v>
      </c>
      <c r="C22" s="7" t="s">
        <v>114</v>
      </c>
    </row>
    <row r="23" spans="1:3" ht="15" customHeight="1" x14ac:dyDescent="0.25">
      <c r="B23" s="6" t="s">
        <v>115</v>
      </c>
      <c r="C23" s="7" t="s">
        <v>116</v>
      </c>
    </row>
    <row r="25" spans="1:3" ht="25.5" customHeight="1" x14ac:dyDescent="0.25">
      <c r="A25" s="56" t="s">
        <v>117</v>
      </c>
      <c r="B25" s="56"/>
      <c r="C25" s="56"/>
    </row>
    <row r="26" spans="1:3" ht="26.25" customHeight="1" x14ac:dyDescent="0.25">
      <c r="B26" s="6" t="s">
        <v>118</v>
      </c>
      <c r="C26" s="7" t="s">
        <v>119</v>
      </c>
    </row>
    <row r="27" spans="1:3" ht="26.25" customHeight="1" x14ac:dyDescent="0.25">
      <c r="B27" s="6" t="s">
        <v>120</v>
      </c>
      <c r="C27" s="7" t="s">
        <v>121</v>
      </c>
    </row>
    <row r="28" spans="1:3" ht="26.25" customHeight="1" x14ac:dyDescent="0.25">
      <c r="B28" s="6" t="s">
        <v>122</v>
      </c>
      <c r="C28" s="7" t="s">
        <v>123</v>
      </c>
    </row>
    <row r="29" spans="1:3" ht="15" customHeight="1" x14ac:dyDescent="0.25">
      <c r="B29" s="6" t="s">
        <v>124</v>
      </c>
      <c r="C29" s="7" t="s">
        <v>125</v>
      </c>
    </row>
    <row r="31" spans="1:3" ht="25.5" customHeight="1" x14ac:dyDescent="0.25">
      <c r="A31" s="56" t="s">
        <v>126</v>
      </c>
      <c r="B31" s="56"/>
      <c r="C31" s="56"/>
    </row>
    <row r="32" spans="1:3" ht="26.25" customHeight="1" x14ac:dyDescent="0.25">
      <c r="B32" s="6" t="s">
        <v>127</v>
      </c>
      <c r="C32" s="7" t="s">
        <v>128</v>
      </c>
    </row>
    <row r="33" spans="1:3" ht="26.25" customHeight="1" x14ac:dyDescent="0.25">
      <c r="B33" s="6" t="s">
        <v>129</v>
      </c>
      <c r="C33" s="7" t="s">
        <v>130</v>
      </c>
    </row>
    <row r="34" spans="1:3" ht="26.25" customHeight="1" x14ac:dyDescent="0.25">
      <c r="B34" s="6" t="s">
        <v>131</v>
      </c>
      <c r="C34" s="7" t="s">
        <v>132</v>
      </c>
    </row>
    <row r="36" spans="1:3" ht="25.5" customHeight="1" x14ac:dyDescent="0.25">
      <c r="A36" s="56" t="s">
        <v>133</v>
      </c>
      <c r="B36" s="56"/>
      <c r="C36" s="56"/>
    </row>
    <row r="37" spans="1:3" ht="26.25" customHeight="1" x14ac:dyDescent="0.25">
      <c r="B37" s="6" t="s">
        <v>134</v>
      </c>
      <c r="C37" s="7" t="s">
        <v>135</v>
      </c>
    </row>
    <row r="38" spans="1:3" ht="26.25" customHeight="1" x14ac:dyDescent="0.25">
      <c r="B38" s="6" t="s">
        <v>136</v>
      </c>
      <c r="C38" s="7" t="s">
        <v>137</v>
      </c>
    </row>
    <row r="39" spans="1:3" ht="26.25" customHeight="1" x14ac:dyDescent="0.25">
      <c r="B39" s="6" t="s">
        <v>138</v>
      </c>
      <c r="C39" s="7" t="s">
        <v>139</v>
      </c>
    </row>
    <row r="42" spans="1:3" ht="24" customHeight="1" x14ac:dyDescent="0.35">
      <c r="A42" s="8" t="s">
        <v>140</v>
      </c>
    </row>
    <row r="44" spans="1:3" ht="15" customHeight="1" x14ac:dyDescent="0.25">
      <c r="A44" s="9" t="s">
        <v>141</v>
      </c>
      <c r="B44" s="9" t="s">
        <v>142</v>
      </c>
    </row>
    <row r="45" spans="1:3" ht="31.5" customHeight="1" x14ac:dyDescent="0.25">
      <c r="A45" s="10" t="s">
        <v>143</v>
      </c>
      <c r="B45" s="11" t="s">
        <v>144</v>
      </c>
    </row>
    <row r="46" spans="1:3" ht="31.5" customHeight="1" x14ac:dyDescent="0.25">
      <c r="A46" s="10" t="s">
        <v>145</v>
      </c>
      <c r="B46" s="11" t="s">
        <v>146</v>
      </c>
    </row>
    <row r="47" spans="1:3" ht="31.5" customHeight="1" x14ac:dyDescent="0.25">
      <c r="A47" s="10" t="s">
        <v>147</v>
      </c>
      <c r="B47" s="11" t="s">
        <v>148</v>
      </c>
    </row>
    <row r="48" spans="1:3" ht="31.5" customHeight="1" x14ac:dyDescent="0.25">
      <c r="A48" s="10" t="s">
        <v>149</v>
      </c>
      <c r="B48" s="11" t="s">
        <v>150</v>
      </c>
    </row>
    <row r="49" spans="1:2" ht="31.5" customHeight="1" x14ac:dyDescent="0.25">
      <c r="A49" s="10" t="s">
        <v>151</v>
      </c>
      <c r="B49" s="11" t="s">
        <v>152</v>
      </c>
    </row>
    <row r="50" spans="1:2" ht="31.5" customHeight="1" x14ac:dyDescent="0.25">
      <c r="A50" s="10" t="s">
        <v>153</v>
      </c>
      <c r="B50" s="11" t="s">
        <v>154</v>
      </c>
    </row>
    <row r="51" spans="1:2" ht="31.5" customHeight="1" x14ac:dyDescent="0.25">
      <c r="A51" s="10" t="s">
        <v>155</v>
      </c>
      <c r="B51" s="11" t="s">
        <v>156</v>
      </c>
    </row>
    <row r="52" spans="1:2" ht="31.5" customHeight="1" x14ac:dyDescent="0.25">
      <c r="A52" s="10" t="s">
        <v>157</v>
      </c>
      <c r="B52" s="11" t="s">
        <v>158</v>
      </c>
    </row>
    <row r="53" spans="1:2" ht="31.5" customHeight="1" x14ac:dyDescent="0.25">
      <c r="A53" s="10" t="s">
        <v>159</v>
      </c>
      <c r="B53" s="11" t="s">
        <v>160</v>
      </c>
    </row>
    <row r="54" spans="1:2" ht="31.5" customHeight="1" x14ac:dyDescent="0.25">
      <c r="A54" s="10" t="s">
        <v>161</v>
      </c>
      <c r="B54" s="11" t="s">
        <v>162</v>
      </c>
    </row>
    <row r="55" spans="1:2" ht="31.5" customHeight="1" x14ac:dyDescent="0.25">
      <c r="A55" s="10" t="s">
        <v>163</v>
      </c>
      <c r="B55" s="11" t="s">
        <v>164</v>
      </c>
    </row>
    <row r="56" spans="1:2" ht="31.5" customHeight="1" x14ac:dyDescent="0.25">
      <c r="A56" s="10" t="s">
        <v>165</v>
      </c>
      <c r="B56" s="11" t="s">
        <v>166</v>
      </c>
    </row>
    <row r="57" spans="1:2" ht="31.5" customHeight="1" x14ac:dyDescent="0.25">
      <c r="A57" s="10" t="s">
        <v>167</v>
      </c>
      <c r="B57" s="11" t="s">
        <v>168</v>
      </c>
    </row>
    <row r="58" spans="1:2" ht="31.5" customHeight="1" x14ac:dyDescent="0.25">
      <c r="A58" s="10" t="s">
        <v>169</v>
      </c>
      <c r="B58" s="11" t="s">
        <v>170</v>
      </c>
    </row>
    <row r="61" spans="1:2" ht="21.75" customHeight="1" x14ac:dyDescent="0.35">
      <c r="A61" s="8" t="s">
        <v>171</v>
      </c>
    </row>
    <row r="63" spans="1:2" ht="57.75" customHeight="1" x14ac:dyDescent="0.25">
      <c r="A63" s="12" t="s">
        <v>172</v>
      </c>
      <c r="B63" s="11" t="s">
        <v>173</v>
      </c>
    </row>
    <row r="64" spans="1:2" ht="57.75" customHeight="1" x14ac:dyDescent="0.25">
      <c r="A64" s="12" t="s">
        <v>174</v>
      </c>
      <c r="B64" s="11" t="s">
        <v>175</v>
      </c>
    </row>
    <row r="65" spans="1:2" ht="57.75" customHeight="1" x14ac:dyDescent="0.25">
      <c r="A65" s="12" t="s">
        <v>176</v>
      </c>
      <c r="B65" s="11" t="s">
        <v>177</v>
      </c>
    </row>
    <row r="66" spans="1:2" ht="57.75" customHeight="1" x14ac:dyDescent="0.25">
      <c r="A66" s="12" t="s">
        <v>178</v>
      </c>
      <c r="B66" s="11" t="s">
        <v>179</v>
      </c>
    </row>
    <row r="69" spans="1:2" ht="24" customHeight="1" x14ac:dyDescent="0.25">
      <c r="A69" s="13" t="s">
        <v>180</v>
      </c>
    </row>
    <row r="71" spans="1:2" x14ac:dyDescent="0.25">
      <c r="A71" s="9" t="s">
        <v>141</v>
      </c>
      <c r="B71" s="9" t="s">
        <v>142</v>
      </c>
    </row>
    <row r="72" spans="1:2" ht="36" customHeight="1" x14ac:dyDescent="0.25">
      <c r="A72" s="10" t="s">
        <v>181</v>
      </c>
      <c r="B72" s="11" t="s">
        <v>182</v>
      </c>
    </row>
    <row r="73" spans="1:2" ht="36" customHeight="1" x14ac:dyDescent="0.25">
      <c r="A73" s="10" t="s">
        <v>183</v>
      </c>
      <c r="B73" s="11" t="s">
        <v>184</v>
      </c>
    </row>
    <row r="74" spans="1:2" ht="36" customHeight="1" x14ac:dyDescent="0.25">
      <c r="A74" s="10" t="s">
        <v>185</v>
      </c>
      <c r="B74" s="11" t="s">
        <v>186</v>
      </c>
    </row>
    <row r="75" spans="1:2" ht="36" customHeight="1" x14ac:dyDescent="0.25">
      <c r="A75" s="10" t="s">
        <v>187</v>
      </c>
      <c r="B75" s="11" t="s">
        <v>188</v>
      </c>
    </row>
    <row r="76" spans="1:2" ht="36" customHeight="1" x14ac:dyDescent="0.25">
      <c r="A76" s="10" t="s">
        <v>189</v>
      </c>
      <c r="B76" s="11" t="s">
        <v>190</v>
      </c>
    </row>
    <row r="77" spans="1:2" ht="36" customHeight="1" x14ac:dyDescent="0.25">
      <c r="A77" s="10" t="s">
        <v>191</v>
      </c>
      <c r="B77" s="11" t="s">
        <v>192</v>
      </c>
    </row>
    <row r="78" spans="1:2" ht="36" customHeight="1" x14ac:dyDescent="0.25">
      <c r="A78" s="10" t="s">
        <v>193</v>
      </c>
      <c r="B78" s="11" t="s">
        <v>194</v>
      </c>
    </row>
    <row r="79" spans="1:2" ht="36" customHeight="1" x14ac:dyDescent="0.25">
      <c r="A79" s="10" t="s">
        <v>195</v>
      </c>
      <c r="B79" s="11" t="s">
        <v>196</v>
      </c>
    </row>
    <row r="80" spans="1:2" ht="36" customHeight="1" x14ac:dyDescent="0.25">
      <c r="A80" s="10" t="s">
        <v>197</v>
      </c>
      <c r="B80" s="11" t="s">
        <v>198</v>
      </c>
    </row>
    <row r="83" spans="1:2" ht="18" x14ac:dyDescent="0.25">
      <c r="A83" s="13" t="s">
        <v>199</v>
      </c>
    </row>
    <row r="85" spans="1:2" ht="42" customHeight="1" x14ac:dyDescent="0.25">
      <c r="A85" s="10" t="s">
        <v>200</v>
      </c>
      <c r="B85" s="14" t="s">
        <v>201</v>
      </c>
    </row>
    <row r="86" spans="1:2" ht="42" customHeight="1" x14ac:dyDescent="0.25">
      <c r="A86" s="10" t="s">
        <v>202</v>
      </c>
      <c r="B86" s="14" t="s">
        <v>203</v>
      </c>
    </row>
    <row r="87" spans="1:2" ht="42" customHeight="1" x14ac:dyDescent="0.25">
      <c r="A87" s="10" t="s">
        <v>204</v>
      </c>
      <c r="B87" s="14" t="s">
        <v>205</v>
      </c>
    </row>
    <row r="88" spans="1:2" ht="42" customHeight="1" x14ac:dyDescent="0.25">
      <c r="A88" s="10" t="s">
        <v>206</v>
      </c>
      <c r="B88" s="14" t="s">
        <v>207</v>
      </c>
    </row>
    <row r="89" spans="1:2" ht="42" customHeight="1" x14ac:dyDescent="0.25">
      <c r="A89" s="10" t="s">
        <v>208</v>
      </c>
      <c r="B89" s="14" t="s">
        <v>209</v>
      </c>
    </row>
    <row r="90" spans="1:2" ht="42" customHeight="1" x14ac:dyDescent="0.25">
      <c r="A90" s="10" t="s">
        <v>210</v>
      </c>
      <c r="B90" s="14" t="s">
        <v>211</v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6">
    <mergeCell ref="A36:C36"/>
    <mergeCell ref="A1:C1"/>
    <mergeCell ref="A3:C3"/>
    <mergeCell ref="A10:C10"/>
    <mergeCell ref="A25:C25"/>
    <mergeCell ref="A31:C31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843C0C"/>
  </sheetPr>
  <dimension ref="A1:J15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2" width="12" customWidth="1"/>
    <col min="3" max="3" width="20" customWidth="1"/>
    <col min="4" max="4" width="12" customWidth="1"/>
    <col min="5" max="5" width="36" customWidth="1"/>
    <col min="6" max="6" width="12" customWidth="1"/>
    <col min="7" max="7" width="16" customWidth="1"/>
    <col min="8" max="8" width="12" customWidth="1"/>
    <col min="9" max="9" width="14" customWidth="1"/>
    <col min="10" max="10" width="28" customWidth="1"/>
  </cols>
  <sheetData>
    <row r="1" spans="1:10" ht="30" customHeight="1" x14ac:dyDescent="0.25">
      <c r="A1" s="71" t="s">
        <v>1229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7.75" customHeight="1" x14ac:dyDescent="0.25">
      <c r="A2" s="63" t="s">
        <v>1230</v>
      </c>
      <c r="B2" s="63" t="s">
        <v>20</v>
      </c>
      <c r="C2" s="63" t="s">
        <v>19</v>
      </c>
      <c r="D2" s="63" t="s">
        <v>1231</v>
      </c>
      <c r="E2" s="63" t="s">
        <v>801</v>
      </c>
      <c r="F2" s="63" t="s">
        <v>1232</v>
      </c>
      <c r="G2" s="63" t="s">
        <v>1233</v>
      </c>
      <c r="H2" s="63" t="s">
        <v>1030</v>
      </c>
      <c r="I2" s="63" t="s">
        <v>23</v>
      </c>
      <c r="J2" s="63" t="s">
        <v>1234</v>
      </c>
    </row>
    <row r="3" spans="1:10" ht="26.25" customHeight="1" x14ac:dyDescent="0.25">
      <c r="A3" s="92" t="s">
        <v>1235</v>
      </c>
      <c r="B3" s="93" t="s">
        <v>359</v>
      </c>
      <c r="C3" s="97" t="str">
        <f t="shared" ref="C3:C34" si="0">IFERROR(VLOOKUP(B3,Projects_Table,2,FALSE()),"")</f>
        <v>Kolitiki Ltd</v>
      </c>
      <c r="D3" s="94">
        <v>46129</v>
      </c>
      <c r="E3" s="106" t="s">
        <v>1236</v>
      </c>
      <c r="F3" s="93" t="s">
        <v>368</v>
      </c>
      <c r="G3" s="93" t="s">
        <v>724</v>
      </c>
      <c r="H3" s="94">
        <v>46142</v>
      </c>
      <c r="I3" s="93" t="s">
        <v>840</v>
      </c>
      <c r="J3" s="106"/>
    </row>
    <row r="4" spans="1:10" ht="26.25" customHeight="1" x14ac:dyDescent="0.25">
      <c r="A4" s="92" t="s">
        <v>1237</v>
      </c>
      <c r="B4" s="93" t="s">
        <v>363</v>
      </c>
      <c r="C4" s="97" t="str">
        <f t="shared" si="0"/>
        <v>Leonida &amp; Sons</v>
      </c>
      <c r="D4" s="94">
        <v>46117</v>
      </c>
      <c r="E4" s="106" t="s">
        <v>1238</v>
      </c>
      <c r="F4" s="93" t="s">
        <v>357</v>
      </c>
      <c r="G4" s="93" t="s">
        <v>819</v>
      </c>
      <c r="H4" s="94">
        <v>46137</v>
      </c>
      <c r="I4" s="93" t="s">
        <v>1239</v>
      </c>
      <c r="J4" s="106"/>
    </row>
    <row r="5" spans="1:10" ht="26.25" customHeight="1" x14ac:dyDescent="0.25">
      <c r="A5" s="92" t="s">
        <v>1240</v>
      </c>
      <c r="B5" s="93" t="s">
        <v>385</v>
      </c>
      <c r="C5" s="97" t="str">
        <f t="shared" si="0"/>
        <v>Eleni R.</v>
      </c>
      <c r="D5" s="94">
        <v>46127</v>
      </c>
      <c r="E5" s="106" t="s">
        <v>1241</v>
      </c>
      <c r="F5" s="93" t="s">
        <v>368</v>
      </c>
      <c r="G5" s="93" t="s">
        <v>724</v>
      </c>
      <c r="H5" s="94">
        <v>46134</v>
      </c>
      <c r="I5" s="93" t="s">
        <v>1242</v>
      </c>
      <c r="J5" s="106" t="s">
        <v>1243</v>
      </c>
    </row>
    <row r="6" spans="1:10" ht="26.25" customHeight="1" x14ac:dyDescent="0.25">
      <c r="A6" s="92" t="s">
        <v>1244</v>
      </c>
      <c r="B6" s="93" t="s">
        <v>373</v>
      </c>
      <c r="C6" s="97" t="str">
        <f t="shared" si="0"/>
        <v>Dimitris V.</v>
      </c>
      <c r="D6" s="94">
        <v>46131</v>
      </c>
      <c r="E6" s="106" t="s">
        <v>1245</v>
      </c>
      <c r="F6" s="93" t="s">
        <v>368</v>
      </c>
      <c r="G6" s="93" t="s">
        <v>697</v>
      </c>
      <c r="H6" s="94">
        <v>46143</v>
      </c>
      <c r="I6" s="93" t="s">
        <v>1246</v>
      </c>
      <c r="J6" s="106" t="s">
        <v>1247</v>
      </c>
    </row>
    <row r="7" spans="1:10" ht="15" customHeight="1" x14ac:dyDescent="0.25">
      <c r="A7" s="77"/>
      <c r="B7" s="77"/>
      <c r="C7" s="97" t="str">
        <f t="shared" si="0"/>
        <v/>
      </c>
      <c r="D7" s="77"/>
      <c r="E7" s="184"/>
      <c r="F7" s="77"/>
      <c r="G7" s="77"/>
      <c r="H7" s="77"/>
      <c r="I7" s="77"/>
      <c r="J7" s="184"/>
    </row>
    <row r="8" spans="1:10" ht="15" customHeight="1" x14ac:dyDescent="0.25">
      <c r="A8" s="77"/>
      <c r="B8" s="77"/>
      <c r="C8" s="97" t="str">
        <f t="shared" si="0"/>
        <v/>
      </c>
      <c r="D8" s="77"/>
      <c r="E8" s="184"/>
      <c r="F8" s="77"/>
      <c r="G8" s="77"/>
      <c r="H8" s="77"/>
      <c r="I8" s="77"/>
      <c r="J8" s="184"/>
    </row>
    <row r="9" spans="1:10" ht="15" customHeight="1" x14ac:dyDescent="0.25">
      <c r="A9" s="77"/>
      <c r="B9" s="77"/>
      <c r="C9" s="97" t="str">
        <f t="shared" si="0"/>
        <v/>
      </c>
      <c r="D9" s="77"/>
      <c r="E9" s="184"/>
      <c r="F9" s="77"/>
      <c r="G9" s="77"/>
      <c r="H9" s="77"/>
      <c r="I9" s="77"/>
      <c r="J9" s="184"/>
    </row>
    <row r="10" spans="1:10" ht="15" customHeight="1" x14ac:dyDescent="0.25">
      <c r="A10" s="77"/>
      <c r="B10" s="77"/>
      <c r="C10" s="97" t="str">
        <f t="shared" si="0"/>
        <v/>
      </c>
      <c r="D10" s="77"/>
      <c r="E10" s="184"/>
      <c r="F10" s="77"/>
      <c r="G10" s="77"/>
      <c r="H10" s="77"/>
      <c r="I10" s="77"/>
      <c r="J10" s="184"/>
    </row>
    <row r="11" spans="1:10" ht="15" customHeight="1" x14ac:dyDescent="0.25">
      <c r="A11" s="77"/>
      <c r="B11" s="77"/>
      <c r="C11" s="97" t="str">
        <f t="shared" si="0"/>
        <v/>
      </c>
      <c r="D11" s="77"/>
      <c r="E11" s="184"/>
      <c r="F11" s="77"/>
      <c r="G11" s="77"/>
      <c r="H11" s="77"/>
      <c r="I11" s="77"/>
      <c r="J11" s="184"/>
    </row>
    <row r="12" spans="1:10" ht="15" customHeight="1" x14ac:dyDescent="0.25">
      <c r="A12" s="77"/>
      <c r="B12" s="77"/>
      <c r="C12" s="97" t="str">
        <f t="shared" si="0"/>
        <v/>
      </c>
      <c r="D12" s="77"/>
      <c r="E12" s="184"/>
      <c r="F12" s="77"/>
      <c r="G12" s="77"/>
      <c r="H12" s="77"/>
      <c r="I12" s="77"/>
      <c r="J12" s="184"/>
    </row>
    <row r="13" spans="1:10" ht="15" customHeight="1" x14ac:dyDescent="0.25">
      <c r="A13" s="77"/>
      <c r="B13" s="77"/>
      <c r="C13" s="97" t="str">
        <f t="shared" si="0"/>
        <v/>
      </c>
      <c r="D13" s="77"/>
      <c r="E13" s="184"/>
      <c r="F13" s="77"/>
      <c r="G13" s="77"/>
      <c r="H13" s="77"/>
      <c r="I13" s="77"/>
      <c r="J13" s="184"/>
    </row>
    <row r="14" spans="1:10" ht="15" customHeight="1" x14ac:dyDescent="0.25">
      <c r="A14" s="77"/>
      <c r="B14" s="77"/>
      <c r="C14" s="97" t="str">
        <f t="shared" si="0"/>
        <v/>
      </c>
      <c r="D14" s="77"/>
      <c r="E14" s="184"/>
      <c r="F14" s="77"/>
      <c r="G14" s="77"/>
      <c r="H14" s="77"/>
      <c r="I14" s="77"/>
      <c r="J14" s="184"/>
    </row>
    <row r="15" spans="1:10" ht="15" customHeight="1" x14ac:dyDescent="0.25">
      <c r="A15" s="77"/>
      <c r="B15" s="77"/>
      <c r="C15" s="97" t="str">
        <f t="shared" si="0"/>
        <v/>
      </c>
      <c r="D15" s="77"/>
      <c r="E15" s="184"/>
      <c r="F15" s="77"/>
      <c r="G15" s="77"/>
      <c r="H15" s="77"/>
      <c r="I15" s="77"/>
      <c r="J15" s="184"/>
    </row>
    <row r="16" spans="1:10" ht="15" customHeight="1" x14ac:dyDescent="0.25">
      <c r="A16" s="77"/>
      <c r="B16" s="77"/>
      <c r="C16" s="97" t="str">
        <f t="shared" si="0"/>
        <v/>
      </c>
      <c r="D16" s="77"/>
      <c r="E16" s="184"/>
      <c r="F16" s="77"/>
      <c r="G16" s="77"/>
      <c r="H16" s="77"/>
      <c r="I16" s="77"/>
      <c r="J16" s="184"/>
    </row>
    <row r="17" spans="1:10" ht="15" customHeight="1" x14ac:dyDescent="0.25">
      <c r="A17" s="77"/>
      <c r="B17" s="77"/>
      <c r="C17" s="97" t="str">
        <f t="shared" si="0"/>
        <v/>
      </c>
      <c r="D17" s="77"/>
      <c r="E17" s="184"/>
      <c r="F17" s="77"/>
      <c r="G17" s="77"/>
      <c r="H17" s="77"/>
      <c r="I17" s="77"/>
      <c r="J17" s="184"/>
    </row>
    <row r="18" spans="1:10" ht="15" customHeight="1" x14ac:dyDescent="0.25">
      <c r="A18" s="77"/>
      <c r="B18" s="77"/>
      <c r="C18" s="97" t="str">
        <f t="shared" si="0"/>
        <v/>
      </c>
      <c r="D18" s="77"/>
      <c r="E18" s="184"/>
      <c r="F18" s="77"/>
      <c r="G18" s="77"/>
      <c r="H18" s="77"/>
      <c r="I18" s="77"/>
      <c r="J18" s="184"/>
    </row>
    <row r="19" spans="1:10" ht="15" customHeight="1" x14ac:dyDescent="0.25">
      <c r="A19" s="77"/>
      <c r="B19" s="77"/>
      <c r="C19" s="97" t="str">
        <f t="shared" si="0"/>
        <v/>
      </c>
      <c r="D19" s="77"/>
      <c r="E19" s="184"/>
      <c r="F19" s="77"/>
      <c r="G19" s="77"/>
      <c r="H19" s="77"/>
      <c r="I19" s="77"/>
      <c r="J19" s="184"/>
    </row>
    <row r="20" spans="1:10" ht="15" customHeight="1" x14ac:dyDescent="0.25">
      <c r="A20" s="77"/>
      <c r="B20" s="77"/>
      <c r="C20" s="97" t="str">
        <f t="shared" si="0"/>
        <v/>
      </c>
      <c r="D20" s="77"/>
      <c r="E20" s="184"/>
      <c r="F20" s="77"/>
      <c r="G20" s="77"/>
      <c r="H20" s="77"/>
      <c r="I20" s="77"/>
      <c r="J20" s="184"/>
    </row>
    <row r="21" spans="1:10" ht="15" customHeight="1" x14ac:dyDescent="0.25">
      <c r="A21" s="77"/>
      <c r="B21" s="77"/>
      <c r="C21" s="97" t="str">
        <f t="shared" si="0"/>
        <v/>
      </c>
      <c r="D21" s="77"/>
      <c r="E21" s="184"/>
      <c r="F21" s="77"/>
      <c r="G21" s="77"/>
      <c r="H21" s="77"/>
      <c r="I21" s="77"/>
      <c r="J21" s="184"/>
    </row>
    <row r="22" spans="1:10" ht="15" customHeight="1" x14ac:dyDescent="0.25">
      <c r="A22" s="77"/>
      <c r="B22" s="77"/>
      <c r="C22" s="97" t="str">
        <f t="shared" si="0"/>
        <v/>
      </c>
      <c r="D22" s="77"/>
      <c r="E22" s="184"/>
      <c r="F22" s="77"/>
      <c r="G22" s="77"/>
      <c r="H22" s="77"/>
      <c r="I22" s="77"/>
      <c r="J22" s="184"/>
    </row>
    <row r="23" spans="1:10" ht="15" customHeight="1" x14ac:dyDescent="0.25">
      <c r="A23" s="77"/>
      <c r="B23" s="77"/>
      <c r="C23" s="97" t="str">
        <f t="shared" si="0"/>
        <v/>
      </c>
      <c r="D23" s="77"/>
      <c r="E23" s="184"/>
      <c r="F23" s="77"/>
      <c r="G23" s="77"/>
      <c r="H23" s="77"/>
      <c r="I23" s="77"/>
      <c r="J23" s="184"/>
    </row>
    <row r="24" spans="1:10" ht="15" customHeight="1" x14ac:dyDescent="0.25">
      <c r="A24" s="77"/>
      <c r="B24" s="77"/>
      <c r="C24" s="97" t="str">
        <f t="shared" si="0"/>
        <v/>
      </c>
      <c r="D24" s="77"/>
      <c r="E24" s="184"/>
      <c r="F24" s="77"/>
      <c r="G24" s="77"/>
      <c r="H24" s="77"/>
      <c r="I24" s="77"/>
      <c r="J24" s="184"/>
    </row>
    <row r="25" spans="1:10" ht="15" customHeight="1" x14ac:dyDescent="0.25">
      <c r="A25" s="77"/>
      <c r="B25" s="77"/>
      <c r="C25" s="97" t="str">
        <f t="shared" si="0"/>
        <v/>
      </c>
      <c r="D25" s="77"/>
      <c r="E25" s="184"/>
      <c r="F25" s="77"/>
      <c r="G25" s="77"/>
      <c r="H25" s="77"/>
      <c r="I25" s="77"/>
      <c r="J25" s="184"/>
    </row>
    <row r="26" spans="1:10" ht="15" customHeight="1" x14ac:dyDescent="0.25">
      <c r="A26" s="77"/>
      <c r="B26" s="77"/>
      <c r="C26" s="97" t="str">
        <f t="shared" si="0"/>
        <v/>
      </c>
      <c r="D26" s="77"/>
      <c r="E26" s="184"/>
      <c r="F26" s="77"/>
      <c r="G26" s="77"/>
      <c r="H26" s="77"/>
      <c r="I26" s="77"/>
      <c r="J26" s="184"/>
    </row>
    <row r="27" spans="1:10" ht="15" customHeight="1" x14ac:dyDescent="0.25">
      <c r="A27" s="77"/>
      <c r="B27" s="77"/>
      <c r="C27" s="97" t="str">
        <f t="shared" si="0"/>
        <v/>
      </c>
      <c r="D27" s="77"/>
      <c r="E27" s="184"/>
      <c r="F27" s="77"/>
      <c r="G27" s="77"/>
      <c r="H27" s="77"/>
      <c r="I27" s="77"/>
      <c r="J27" s="184"/>
    </row>
    <row r="28" spans="1:10" ht="15" customHeight="1" x14ac:dyDescent="0.25">
      <c r="A28" s="77"/>
      <c r="B28" s="77"/>
      <c r="C28" s="97" t="str">
        <f t="shared" si="0"/>
        <v/>
      </c>
      <c r="D28" s="77"/>
      <c r="E28" s="184"/>
      <c r="F28" s="77"/>
      <c r="G28" s="77"/>
      <c r="H28" s="77"/>
      <c r="I28" s="77"/>
      <c r="J28" s="184"/>
    </row>
    <row r="29" spans="1:10" ht="15" customHeight="1" x14ac:dyDescent="0.25">
      <c r="A29" s="77"/>
      <c r="B29" s="77"/>
      <c r="C29" s="97" t="str">
        <f t="shared" si="0"/>
        <v/>
      </c>
      <c r="D29" s="77"/>
      <c r="E29" s="184"/>
      <c r="F29" s="77"/>
      <c r="G29" s="77"/>
      <c r="H29" s="77"/>
      <c r="I29" s="77"/>
      <c r="J29" s="184"/>
    </row>
    <row r="30" spans="1:10" ht="15" customHeight="1" x14ac:dyDescent="0.25">
      <c r="A30" s="77"/>
      <c r="B30" s="77"/>
      <c r="C30" s="97" t="str">
        <f t="shared" si="0"/>
        <v/>
      </c>
      <c r="D30" s="77"/>
      <c r="E30" s="184"/>
      <c r="F30" s="77"/>
      <c r="G30" s="77"/>
      <c r="H30" s="77"/>
      <c r="I30" s="77"/>
      <c r="J30" s="184"/>
    </row>
    <row r="31" spans="1:10" ht="15" customHeight="1" x14ac:dyDescent="0.25">
      <c r="A31" s="77"/>
      <c r="B31" s="77"/>
      <c r="C31" s="97" t="str">
        <f t="shared" si="0"/>
        <v/>
      </c>
      <c r="D31" s="77"/>
      <c r="E31" s="184"/>
      <c r="F31" s="77"/>
      <c r="G31" s="77"/>
      <c r="H31" s="77"/>
      <c r="I31" s="77"/>
      <c r="J31" s="184"/>
    </row>
    <row r="32" spans="1:10" ht="15" customHeight="1" x14ac:dyDescent="0.25">
      <c r="A32" s="77"/>
      <c r="B32" s="77"/>
      <c r="C32" s="97" t="str">
        <f t="shared" si="0"/>
        <v/>
      </c>
      <c r="D32" s="77"/>
      <c r="E32" s="184"/>
      <c r="F32" s="77"/>
      <c r="G32" s="77"/>
      <c r="H32" s="77"/>
      <c r="I32" s="77"/>
      <c r="J32" s="184"/>
    </row>
    <row r="33" spans="1:10" ht="15" customHeight="1" x14ac:dyDescent="0.25">
      <c r="A33" s="77"/>
      <c r="B33" s="77"/>
      <c r="C33" s="97" t="str">
        <f t="shared" si="0"/>
        <v/>
      </c>
      <c r="D33" s="77"/>
      <c r="E33" s="184"/>
      <c r="F33" s="77"/>
      <c r="G33" s="77"/>
      <c r="H33" s="77"/>
      <c r="I33" s="77"/>
      <c r="J33" s="184"/>
    </row>
    <row r="34" spans="1:10" ht="15" customHeight="1" x14ac:dyDescent="0.25">
      <c r="A34" s="77"/>
      <c r="B34" s="77"/>
      <c r="C34" s="97" t="str">
        <f t="shared" si="0"/>
        <v/>
      </c>
      <c r="D34" s="77"/>
      <c r="E34" s="184"/>
      <c r="F34" s="77"/>
      <c r="G34" s="77"/>
      <c r="H34" s="77"/>
      <c r="I34" s="77"/>
      <c r="J34" s="184"/>
    </row>
    <row r="35" spans="1:10" ht="15" customHeight="1" x14ac:dyDescent="0.25">
      <c r="A35" s="77"/>
      <c r="B35" s="77"/>
      <c r="C35" s="97" t="str">
        <f t="shared" ref="C35:C66" si="1">IFERROR(VLOOKUP(B35,Projects_Table,2,FALSE()),"")</f>
        <v/>
      </c>
      <c r="D35" s="77"/>
      <c r="E35" s="184"/>
      <c r="F35" s="77"/>
      <c r="G35" s="77"/>
      <c r="H35" s="77"/>
      <c r="I35" s="77"/>
      <c r="J35" s="184"/>
    </row>
    <row r="36" spans="1:10" ht="15" customHeight="1" x14ac:dyDescent="0.25">
      <c r="A36" s="77"/>
      <c r="B36" s="77"/>
      <c r="C36" s="97" t="str">
        <f t="shared" si="1"/>
        <v/>
      </c>
      <c r="D36" s="77"/>
      <c r="E36" s="184"/>
      <c r="F36" s="77"/>
      <c r="G36" s="77"/>
      <c r="H36" s="77"/>
      <c r="I36" s="77"/>
      <c r="J36" s="184"/>
    </row>
    <row r="37" spans="1:10" ht="15" customHeight="1" x14ac:dyDescent="0.25">
      <c r="A37" s="77"/>
      <c r="B37" s="77"/>
      <c r="C37" s="97" t="str">
        <f t="shared" si="1"/>
        <v/>
      </c>
      <c r="D37" s="77"/>
      <c r="E37" s="184"/>
      <c r="F37" s="77"/>
      <c r="G37" s="77"/>
      <c r="H37" s="77"/>
      <c r="I37" s="77"/>
      <c r="J37" s="184"/>
    </row>
    <row r="38" spans="1:10" ht="15" customHeight="1" x14ac:dyDescent="0.25">
      <c r="A38" s="77"/>
      <c r="B38" s="77"/>
      <c r="C38" s="97" t="str">
        <f t="shared" si="1"/>
        <v/>
      </c>
      <c r="D38" s="77"/>
      <c r="E38" s="184"/>
      <c r="F38" s="77"/>
      <c r="G38" s="77"/>
      <c r="H38" s="77"/>
      <c r="I38" s="77"/>
      <c r="J38" s="184"/>
    </row>
    <row r="39" spans="1:10" ht="15" customHeight="1" x14ac:dyDescent="0.25">
      <c r="A39" s="77"/>
      <c r="B39" s="77"/>
      <c r="C39" s="97" t="str">
        <f t="shared" si="1"/>
        <v/>
      </c>
      <c r="D39" s="77"/>
      <c r="E39" s="184"/>
      <c r="F39" s="77"/>
      <c r="G39" s="77"/>
      <c r="H39" s="77"/>
      <c r="I39" s="77"/>
      <c r="J39" s="184"/>
    </row>
    <row r="40" spans="1:10" ht="15" customHeight="1" x14ac:dyDescent="0.25">
      <c r="A40" s="77"/>
      <c r="B40" s="77"/>
      <c r="C40" s="97" t="str">
        <f t="shared" si="1"/>
        <v/>
      </c>
      <c r="D40" s="77"/>
      <c r="E40" s="184"/>
      <c r="F40" s="77"/>
      <c r="G40" s="77"/>
      <c r="H40" s="77"/>
      <c r="I40" s="77"/>
      <c r="J40" s="184"/>
    </row>
    <row r="41" spans="1:10" ht="15" customHeight="1" x14ac:dyDescent="0.25">
      <c r="A41" s="77"/>
      <c r="B41" s="77"/>
      <c r="C41" s="97" t="str">
        <f t="shared" si="1"/>
        <v/>
      </c>
      <c r="D41" s="77"/>
      <c r="E41" s="184"/>
      <c r="F41" s="77"/>
      <c r="G41" s="77"/>
      <c r="H41" s="77"/>
      <c r="I41" s="77"/>
      <c r="J41" s="184"/>
    </row>
    <row r="42" spans="1:10" ht="15" customHeight="1" x14ac:dyDescent="0.25">
      <c r="A42" s="77"/>
      <c r="B42" s="77"/>
      <c r="C42" s="97" t="str">
        <f t="shared" si="1"/>
        <v/>
      </c>
      <c r="D42" s="77"/>
      <c r="E42" s="184"/>
      <c r="F42" s="77"/>
      <c r="G42" s="77"/>
      <c r="H42" s="77"/>
      <c r="I42" s="77"/>
      <c r="J42" s="184"/>
    </row>
    <row r="43" spans="1:10" ht="15" customHeight="1" x14ac:dyDescent="0.25">
      <c r="A43" s="77"/>
      <c r="B43" s="77"/>
      <c r="C43" s="97" t="str">
        <f t="shared" si="1"/>
        <v/>
      </c>
      <c r="D43" s="77"/>
      <c r="E43" s="184"/>
      <c r="F43" s="77"/>
      <c r="G43" s="77"/>
      <c r="H43" s="77"/>
      <c r="I43" s="77"/>
      <c r="J43" s="184"/>
    </row>
    <row r="44" spans="1:10" ht="15" customHeight="1" x14ac:dyDescent="0.25">
      <c r="A44" s="77"/>
      <c r="B44" s="77"/>
      <c r="C44" s="97" t="str">
        <f t="shared" si="1"/>
        <v/>
      </c>
      <c r="D44" s="77"/>
      <c r="E44" s="184"/>
      <c r="F44" s="77"/>
      <c r="G44" s="77"/>
      <c r="H44" s="77"/>
      <c r="I44" s="77"/>
      <c r="J44" s="184"/>
    </row>
    <row r="45" spans="1:10" ht="15" customHeight="1" x14ac:dyDescent="0.25">
      <c r="A45" s="77"/>
      <c r="B45" s="77"/>
      <c r="C45" s="97" t="str">
        <f t="shared" si="1"/>
        <v/>
      </c>
      <c r="D45" s="77"/>
      <c r="E45" s="184"/>
      <c r="F45" s="77"/>
      <c r="G45" s="77"/>
      <c r="H45" s="77"/>
      <c r="I45" s="77"/>
      <c r="J45" s="184"/>
    </row>
    <row r="46" spans="1:10" ht="15" customHeight="1" x14ac:dyDescent="0.25">
      <c r="A46" s="77"/>
      <c r="B46" s="77"/>
      <c r="C46" s="97" t="str">
        <f t="shared" si="1"/>
        <v/>
      </c>
      <c r="D46" s="77"/>
      <c r="E46" s="184"/>
      <c r="F46" s="77"/>
      <c r="G46" s="77"/>
      <c r="H46" s="77"/>
      <c r="I46" s="77"/>
      <c r="J46" s="184"/>
    </row>
    <row r="47" spans="1:10" ht="15" customHeight="1" x14ac:dyDescent="0.25">
      <c r="A47" s="77"/>
      <c r="B47" s="77"/>
      <c r="C47" s="97" t="str">
        <f t="shared" si="1"/>
        <v/>
      </c>
      <c r="D47" s="77"/>
      <c r="E47" s="184"/>
      <c r="F47" s="77"/>
      <c r="G47" s="77"/>
      <c r="H47" s="77"/>
      <c r="I47" s="77"/>
      <c r="J47" s="184"/>
    </row>
    <row r="48" spans="1:10" ht="15" customHeight="1" x14ac:dyDescent="0.25">
      <c r="A48" s="77"/>
      <c r="B48" s="77"/>
      <c r="C48" s="97" t="str">
        <f t="shared" si="1"/>
        <v/>
      </c>
      <c r="D48" s="77"/>
      <c r="E48" s="184"/>
      <c r="F48" s="77"/>
      <c r="G48" s="77"/>
      <c r="H48" s="77"/>
      <c r="I48" s="77"/>
      <c r="J48" s="184"/>
    </row>
    <row r="49" spans="1:10" ht="15" customHeight="1" x14ac:dyDescent="0.25">
      <c r="A49" s="77"/>
      <c r="B49" s="77"/>
      <c r="C49" s="97" t="str">
        <f t="shared" si="1"/>
        <v/>
      </c>
      <c r="D49" s="77"/>
      <c r="E49" s="184"/>
      <c r="F49" s="77"/>
      <c r="G49" s="77"/>
      <c r="H49" s="77"/>
      <c r="I49" s="77"/>
      <c r="J49" s="184"/>
    </row>
    <row r="50" spans="1:10" ht="15" customHeight="1" x14ac:dyDescent="0.25">
      <c r="A50" s="77"/>
      <c r="B50" s="77"/>
      <c r="C50" s="97" t="str">
        <f t="shared" si="1"/>
        <v/>
      </c>
      <c r="D50" s="77"/>
      <c r="E50" s="184"/>
      <c r="F50" s="77"/>
      <c r="G50" s="77"/>
      <c r="H50" s="77"/>
      <c r="I50" s="77"/>
      <c r="J50" s="184"/>
    </row>
    <row r="51" spans="1:10" ht="15" customHeight="1" x14ac:dyDescent="0.25">
      <c r="A51" s="77"/>
      <c r="B51" s="77"/>
      <c r="C51" s="97" t="str">
        <f t="shared" si="1"/>
        <v/>
      </c>
      <c r="D51" s="77"/>
      <c r="E51" s="184"/>
      <c r="F51" s="77"/>
      <c r="G51" s="77"/>
      <c r="H51" s="77"/>
      <c r="I51" s="77"/>
      <c r="J51" s="184"/>
    </row>
    <row r="52" spans="1:10" ht="15" customHeight="1" x14ac:dyDescent="0.25">
      <c r="A52" s="77"/>
      <c r="B52" s="77"/>
      <c r="C52" s="97" t="str">
        <f t="shared" si="1"/>
        <v/>
      </c>
      <c r="D52" s="77"/>
      <c r="E52" s="184"/>
      <c r="F52" s="77"/>
      <c r="G52" s="77"/>
      <c r="H52" s="77"/>
      <c r="I52" s="77"/>
      <c r="J52" s="184"/>
    </row>
    <row r="53" spans="1:10" ht="15" customHeight="1" x14ac:dyDescent="0.25">
      <c r="A53" s="77"/>
      <c r="B53" s="77"/>
      <c r="C53" s="97" t="str">
        <f t="shared" si="1"/>
        <v/>
      </c>
      <c r="D53" s="77"/>
      <c r="E53" s="184"/>
      <c r="F53" s="77"/>
      <c r="G53" s="77"/>
      <c r="H53" s="77"/>
      <c r="I53" s="77"/>
      <c r="J53" s="184"/>
    </row>
    <row r="54" spans="1:10" ht="15" customHeight="1" x14ac:dyDescent="0.25">
      <c r="A54" s="77"/>
      <c r="B54" s="77"/>
      <c r="C54" s="97" t="str">
        <f t="shared" si="1"/>
        <v/>
      </c>
      <c r="D54" s="77"/>
      <c r="E54" s="184"/>
      <c r="F54" s="77"/>
      <c r="G54" s="77"/>
      <c r="H54" s="77"/>
      <c r="I54" s="77"/>
      <c r="J54" s="184"/>
    </row>
    <row r="55" spans="1:10" ht="15" customHeight="1" x14ac:dyDescent="0.25">
      <c r="A55" s="77"/>
      <c r="B55" s="77"/>
      <c r="C55" s="97" t="str">
        <f t="shared" si="1"/>
        <v/>
      </c>
      <c r="D55" s="77"/>
      <c r="E55" s="184"/>
      <c r="F55" s="77"/>
      <c r="G55" s="77"/>
      <c r="H55" s="77"/>
      <c r="I55" s="77"/>
      <c r="J55" s="184"/>
    </row>
    <row r="56" spans="1:10" ht="15" customHeight="1" x14ac:dyDescent="0.25">
      <c r="A56" s="77"/>
      <c r="B56" s="77"/>
      <c r="C56" s="97" t="str">
        <f t="shared" si="1"/>
        <v/>
      </c>
      <c r="D56" s="77"/>
      <c r="E56" s="184"/>
      <c r="F56" s="77"/>
      <c r="G56" s="77"/>
      <c r="H56" s="77"/>
      <c r="I56" s="77"/>
      <c r="J56" s="184"/>
    </row>
    <row r="57" spans="1:10" ht="15" customHeight="1" x14ac:dyDescent="0.25">
      <c r="A57" s="77"/>
      <c r="B57" s="77"/>
      <c r="C57" s="97" t="str">
        <f t="shared" si="1"/>
        <v/>
      </c>
      <c r="D57" s="77"/>
      <c r="E57" s="184"/>
      <c r="F57" s="77"/>
      <c r="G57" s="77"/>
      <c r="H57" s="77"/>
      <c r="I57" s="77"/>
      <c r="J57" s="184"/>
    </row>
    <row r="58" spans="1:10" ht="15" customHeight="1" x14ac:dyDescent="0.25">
      <c r="A58" s="77"/>
      <c r="B58" s="77"/>
      <c r="C58" s="97" t="str">
        <f t="shared" si="1"/>
        <v/>
      </c>
      <c r="D58" s="77"/>
      <c r="E58" s="184"/>
      <c r="F58" s="77"/>
      <c r="G58" s="77"/>
      <c r="H58" s="77"/>
      <c r="I58" s="77"/>
      <c r="J58" s="184"/>
    </row>
    <row r="59" spans="1:10" ht="15" customHeight="1" x14ac:dyDescent="0.25">
      <c r="A59" s="77"/>
      <c r="B59" s="77"/>
      <c r="C59" s="97" t="str">
        <f t="shared" si="1"/>
        <v/>
      </c>
      <c r="D59" s="77"/>
      <c r="E59" s="184"/>
      <c r="F59" s="77"/>
      <c r="G59" s="77"/>
      <c r="H59" s="77"/>
      <c r="I59" s="77"/>
      <c r="J59" s="184"/>
    </row>
    <row r="60" spans="1:10" ht="15" customHeight="1" x14ac:dyDescent="0.25">
      <c r="A60" s="77"/>
      <c r="B60" s="77"/>
      <c r="C60" s="97" t="str">
        <f t="shared" si="1"/>
        <v/>
      </c>
      <c r="D60" s="77"/>
      <c r="E60" s="184"/>
      <c r="F60" s="77"/>
      <c r="G60" s="77"/>
      <c r="H60" s="77"/>
      <c r="I60" s="77"/>
      <c r="J60" s="184"/>
    </row>
    <row r="61" spans="1:10" ht="15" customHeight="1" x14ac:dyDescent="0.25">
      <c r="A61" s="77"/>
      <c r="B61" s="77"/>
      <c r="C61" s="97" t="str">
        <f t="shared" si="1"/>
        <v/>
      </c>
      <c r="D61" s="77"/>
      <c r="E61" s="184"/>
      <c r="F61" s="77"/>
      <c r="G61" s="77"/>
      <c r="H61" s="77"/>
      <c r="I61" s="77"/>
      <c r="J61" s="184"/>
    </row>
    <row r="62" spans="1:10" ht="15" customHeight="1" x14ac:dyDescent="0.25">
      <c r="A62" s="77"/>
      <c r="B62" s="77"/>
      <c r="C62" s="97" t="str">
        <f t="shared" si="1"/>
        <v/>
      </c>
      <c r="D62" s="77"/>
      <c r="E62" s="184"/>
      <c r="F62" s="77"/>
      <c r="G62" s="77"/>
      <c r="H62" s="77"/>
      <c r="I62" s="77"/>
      <c r="J62" s="184"/>
    </row>
    <row r="63" spans="1:10" ht="15" customHeight="1" x14ac:dyDescent="0.25">
      <c r="A63" s="77"/>
      <c r="B63" s="77"/>
      <c r="C63" s="97" t="str">
        <f t="shared" si="1"/>
        <v/>
      </c>
      <c r="D63" s="77"/>
      <c r="E63" s="184"/>
      <c r="F63" s="77"/>
      <c r="G63" s="77"/>
      <c r="H63" s="77"/>
      <c r="I63" s="77"/>
      <c r="J63" s="184"/>
    </row>
    <row r="64" spans="1:10" ht="15" customHeight="1" x14ac:dyDescent="0.25">
      <c r="A64" s="77"/>
      <c r="B64" s="77"/>
      <c r="C64" s="97" t="str">
        <f t="shared" si="1"/>
        <v/>
      </c>
      <c r="D64" s="77"/>
      <c r="E64" s="184"/>
      <c r="F64" s="77"/>
      <c r="G64" s="77"/>
      <c r="H64" s="77"/>
      <c r="I64" s="77"/>
      <c r="J64" s="184"/>
    </row>
    <row r="65" spans="1:10" ht="15" customHeight="1" x14ac:dyDescent="0.25">
      <c r="A65" s="77"/>
      <c r="B65" s="77"/>
      <c r="C65" s="97" t="str">
        <f t="shared" si="1"/>
        <v/>
      </c>
      <c r="D65" s="77"/>
      <c r="E65" s="184"/>
      <c r="F65" s="77"/>
      <c r="G65" s="77"/>
      <c r="H65" s="77"/>
      <c r="I65" s="77"/>
      <c r="J65" s="184"/>
    </row>
    <row r="66" spans="1:10" ht="15" customHeight="1" x14ac:dyDescent="0.25">
      <c r="A66" s="77"/>
      <c r="B66" s="77"/>
      <c r="C66" s="97" t="str">
        <f t="shared" si="1"/>
        <v/>
      </c>
      <c r="D66" s="77"/>
      <c r="E66" s="184"/>
      <c r="F66" s="77"/>
      <c r="G66" s="77"/>
      <c r="H66" s="77"/>
      <c r="I66" s="77"/>
      <c r="J66" s="184"/>
    </row>
    <row r="67" spans="1:10" ht="15" customHeight="1" x14ac:dyDescent="0.25">
      <c r="A67" s="77"/>
      <c r="B67" s="77"/>
      <c r="C67" s="97" t="str">
        <f t="shared" ref="C67:C98" si="2">IFERROR(VLOOKUP(B67,Projects_Table,2,FALSE()),"")</f>
        <v/>
      </c>
      <c r="D67" s="77"/>
      <c r="E67" s="184"/>
      <c r="F67" s="77"/>
      <c r="G67" s="77"/>
      <c r="H67" s="77"/>
      <c r="I67" s="77"/>
      <c r="J67" s="184"/>
    </row>
    <row r="68" spans="1:10" ht="15" customHeight="1" x14ac:dyDescent="0.25">
      <c r="A68" s="77"/>
      <c r="B68" s="77"/>
      <c r="C68" s="97" t="str">
        <f t="shared" si="2"/>
        <v/>
      </c>
      <c r="D68" s="77"/>
      <c r="E68" s="184"/>
      <c r="F68" s="77"/>
      <c r="G68" s="77"/>
      <c r="H68" s="77"/>
      <c r="I68" s="77"/>
      <c r="J68" s="184"/>
    </row>
    <row r="69" spans="1:10" ht="15" customHeight="1" x14ac:dyDescent="0.25">
      <c r="A69" s="77"/>
      <c r="B69" s="77"/>
      <c r="C69" s="97" t="str">
        <f t="shared" si="2"/>
        <v/>
      </c>
      <c r="D69" s="77"/>
      <c r="E69" s="184"/>
      <c r="F69" s="77"/>
      <c r="G69" s="77"/>
      <c r="H69" s="77"/>
      <c r="I69" s="77"/>
      <c r="J69" s="184"/>
    </row>
    <row r="70" spans="1:10" ht="15" customHeight="1" x14ac:dyDescent="0.25">
      <c r="A70" s="77"/>
      <c r="B70" s="77"/>
      <c r="C70" s="97" t="str">
        <f t="shared" si="2"/>
        <v/>
      </c>
      <c r="D70" s="77"/>
      <c r="E70" s="184"/>
      <c r="F70" s="77"/>
      <c r="G70" s="77"/>
      <c r="H70" s="77"/>
      <c r="I70" s="77"/>
      <c r="J70" s="184"/>
    </row>
    <row r="71" spans="1:10" ht="15" customHeight="1" x14ac:dyDescent="0.25">
      <c r="A71" s="77"/>
      <c r="B71" s="77"/>
      <c r="C71" s="97" t="str">
        <f t="shared" si="2"/>
        <v/>
      </c>
      <c r="D71" s="77"/>
      <c r="E71" s="184"/>
      <c r="F71" s="77"/>
      <c r="G71" s="77"/>
      <c r="H71" s="77"/>
      <c r="I71" s="77"/>
      <c r="J71" s="184"/>
    </row>
    <row r="72" spans="1:10" ht="15" customHeight="1" x14ac:dyDescent="0.25">
      <c r="A72" s="77"/>
      <c r="B72" s="77"/>
      <c r="C72" s="97" t="str">
        <f t="shared" si="2"/>
        <v/>
      </c>
      <c r="D72" s="77"/>
      <c r="E72" s="184"/>
      <c r="F72" s="77"/>
      <c r="G72" s="77"/>
      <c r="H72" s="77"/>
      <c r="I72" s="77"/>
      <c r="J72" s="184"/>
    </row>
    <row r="73" spans="1:10" ht="15" customHeight="1" x14ac:dyDescent="0.25">
      <c r="A73" s="77"/>
      <c r="B73" s="77"/>
      <c r="C73" s="97" t="str">
        <f t="shared" si="2"/>
        <v/>
      </c>
      <c r="D73" s="77"/>
      <c r="E73" s="184"/>
      <c r="F73" s="77"/>
      <c r="G73" s="77"/>
      <c r="H73" s="77"/>
      <c r="I73" s="77"/>
      <c r="J73" s="184"/>
    </row>
    <row r="74" spans="1:10" ht="15" customHeight="1" x14ac:dyDescent="0.25">
      <c r="A74" s="77"/>
      <c r="B74" s="77"/>
      <c r="C74" s="97" t="str">
        <f t="shared" si="2"/>
        <v/>
      </c>
      <c r="D74" s="77"/>
      <c r="E74" s="184"/>
      <c r="F74" s="77"/>
      <c r="G74" s="77"/>
      <c r="H74" s="77"/>
      <c r="I74" s="77"/>
      <c r="J74" s="184"/>
    </row>
    <row r="75" spans="1:10" ht="15" customHeight="1" x14ac:dyDescent="0.25">
      <c r="A75" s="77"/>
      <c r="B75" s="77"/>
      <c r="C75" s="97" t="str">
        <f t="shared" si="2"/>
        <v/>
      </c>
      <c r="D75" s="77"/>
      <c r="E75" s="184"/>
      <c r="F75" s="77"/>
      <c r="G75" s="77"/>
      <c r="H75" s="77"/>
      <c r="I75" s="77"/>
      <c r="J75" s="184"/>
    </row>
    <row r="76" spans="1:10" ht="15" customHeight="1" x14ac:dyDescent="0.25">
      <c r="A76" s="77"/>
      <c r="B76" s="77"/>
      <c r="C76" s="97" t="str">
        <f t="shared" si="2"/>
        <v/>
      </c>
      <c r="D76" s="77"/>
      <c r="E76" s="184"/>
      <c r="F76" s="77"/>
      <c r="G76" s="77"/>
      <c r="H76" s="77"/>
      <c r="I76" s="77"/>
      <c r="J76" s="184"/>
    </row>
    <row r="77" spans="1:10" ht="15" customHeight="1" x14ac:dyDescent="0.25">
      <c r="A77" s="77"/>
      <c r="B77" s="77"/>
      <c r="C77" s="97" t="str">
        <f t="shared" si="2"/>
        <v/>
      </c>
      <c r="D77" s="77"/>
      <c r="E77" s="184"/>
      <c r="F77" s="77"/>
      <c r="G77" s="77"/>
      <c r="H77" s="77"/>
      <c r="I77" s="77"/>
      <c r="J77" s="184"/>
    </row>
    <row r="78" spans="1:10" ht="15" customHeight="1" x14ac:dyDescent="0.25">
      <c r="A78" s="77"/>
      <c r="B78" s="77"/>
      <c r="C78" s="97" t="str">
        <f t="shared" si="2"/>
        <v/>
      </c>
      <c r="D78" s="77"/>
      <c r="E78" s="184"/>
      <c r="F78" s="77"/>
      <c r="G78" s="77"/>
      <c r="H78" s="77"/>
      <c r="I78" s="77"/>
      <c r="J78" s="184"/>
    </row>
    <row r="79" spans="1:10" ht="15" customHeight="1" x14ac:dyDescent="0.25">
      <c r="A79" s="77"/>
      <c r="B79" s="77"/>
      <c r="C79" s="97" t="str">
        <f t="shared" si="2"/>
        <v/>
      </c>
      <c r="D79" s="77"/>
      <c r="E79" s="184"/>
      <c r="F79" s="77"/>
      <c r="G79" s="77"/>
      <c r="H79" s="77"/>
      <c r="I79" s="77"/>
      <c r="J79" s="184"/>
    </row>
    <row r="80" spans="1:10" ht="15" customHeight="1" x14ac:dyDescent="0.25">
      <c r="A80" s="77"/>
      <c r="B80" s="77"/>
      <c r="C80" s="97" t="str">
        <f t="shared" si="2"/>
        <v/>
      </c>
      <c r="D80" s="77"/>
      <c r="E80" s="184"/>
      <c r="F80" s="77"/>
      <c r="G80" s="77"/>
      <c r="H80" s="77"/>
      <c r="I80" s="77"/>
      <c r="J80" s="184"/>
    </row>
    <row r="81" spans="1:10" ht="15" customHeight="1" x14ac:dyDescent="0.25">
      <c r="A81" s="77"/>
      <c r="B81" s="77"/>
      <c r="C81" s="97" t="str">
        <f t="shared" si="2"/>
        <v/>
      </c>
      <c r="D81" s="77"/>
      <c r="E81" s="184"/>
      <c r="F81" s="77"/>
      <c r="G81" s="77"/>
      <c r="H81" s="77"/>
      <c r="I81" s="77"/>
      <c r="J81" s="184"/>
    </row>
    <row r="82" spans="1:10" ht="15" customHeight="1" x14ac:dyDescent="0.25">
      <c r="A82" s="77"/>
      <c r="B82" s="77"/>
      <c r="C82" s="97" t="str">
        <f t="shared" si="2"/>
        <v/>
      </c>
      <c r="D82" s="77"/>
      <c r="E82" s="184"/>
      <c r="F82" s="77"/>
      <c r="G82" s="77"/>
      <c r="H82" s="77"/>
      <c r="I82" s="77"/>
      <c r="J82" s="184"/>
    </row>
    <row r="83" spans="1:10" ht="15" customHeight="1" x14ac:dyDescent="0.25">
      <c r="A83" s="77"/>
      <c r="B83" s="77"/>
      <c r="C83" s="97" t="str">
        <f t="shared" si="2"/>
        <v/>
      </c>
      <c r="D83" s="77"/>
      <c r="E83" s="184"/>
      <c r="F83" s="77"/>
      <c r="G83" s="77"/>
      <c r="H83" s="77"/>
      <c r="I83" s="77"/>
      <c r="J83" s="184"/>
    </row>
    <row r="84" spans="1:10" ht="15" customHeight="1" x14ac:dyDescent="0.25">
      <c r="A84" s="77"/>
      <c r="B84" s="77"/>
      <c r="C84" s="97" t="str">
        <f t="shared" si="2"/>
        <v/>
      </c>
      <c r="D84" s="77"/>
      <c r="E84" s="184"/>
      <c r="F84" s="77"/>
      <c r="G84" s="77"/>
      <c r="H84" s="77"/>
      <c r="I84" s="77"/>
      <c r="J84" s="184"/>
    </row>
    <row r="85" spans="1:10" ht="15" customHeight="1" x14ac:dyDescent="0.25">
      <c r="A85" s="77"/>
      <c r="B85" s="77"/>
      <c r="C85" s="97" t="str">
        <f t="shared" si="2"/>
        <v/>
      </c>
      <c r="D85" s="77"/>
      <c r="E85" s="184"/>
      <c r="F85" s="77"/>
      <c r="G85" s="77"/>
      <c r="H85" s="77"/>
      <c r="I85" s="77"/>
      <c r="J85" s="184"/>
    </row>
    <row r="86" spans="1:10" ht="15" customHeight="1" x14ac:dyDescent="0.25">
      <c r="A86" s="77"/>
      <c r="B86" s="77"/>
      <c r="C86" s="97" t="str">
        <f t="shared" si="2"/>
        <v/>
      </c>
      <c r="D86" s="77"/>
      <c r="E86" s="184"/>
      <c r="F86" s="77"/>
      <c r="G86" s="77"/>
      <c r="H86" s="77"/>
      <c r="I86" s="77"/>
      <c r="J86" s="184"/>
    </row>
    <row r="87" spans="1:10" ht="15" customHeight="1" x14ac:dyDescent="0.25">
      <c r="A87" s="77"/>
      <c r="B87" s="77"/>
      <c r="C87" s="97" t="str">
        <f t="shared" si="2"/>
        <v/>
      </c>
      <c r="D87" s="77"/>
      <c r="E87" s="184"/>
      <c r="F87" s="77"/>
      <c r="G87" s="77"/>
      <c r="H87" s="77"/>
      <c r="I87" s="77"/>
      <c r="J87" s="184"/>
    </row>
    <row r="88" spans="1:10" ht="15" customHeight="1" x14ac:dyDescent="0.25">
      <c r="A88" s="77"/>
      <c r="B88" s="77"/>
      <c r="C88" s="97" t="str">
        <f t="shared" si="2"/>
        <v/>
      </c>
      <c r="D88" s="77"/>
      <c r="E88" s="184"/>
      <c r="F88" s="77"/>
      <c r="G88" s="77"/>
      <c r="H88" s="77"/>
      <c r="I88" s="77"/>
      <c r="J88" s="184"/>
    </row>
    <row r="89" spans="1:10" ht="15" customHeight="1" x14ac:dyDescent="0.25">
      <c r="A89" s="77"/>
      <c r="B89" s="77"/>
      <c r="C89" s="97" t="str">
        <f t="shared" si="2"/>
        <v/>
      </c>
      <c r="D89" s="77"/>
      <c r="E89" s="184"/>
      <c r="F89" s="77"/>
      <c r="G89" s="77"/>
      <c r="H89" s="77"/>
      <c r="I89" s="77"/>
      <c r="J89" s="184"/>
    </row>
    <row r="90" spans="1:10" ht="15" customHeight="1" x14ac:dyDescent="0.25">
      <c r="A90" s="77"/>
      <c r="B90" s="77"/>
      <c r="C90" s="97" t="str">
        <f t="shared" si="2"/>
        <v/>
      </c>
      <c r="D90" s="77"/>
      <c r="E90" s="184"/>
      <c r="F90" s="77"/>
      <c r="G90" s="77"/>
      <c r="H90" s="77"/>
      <c r="I90" s="77"/>
      <c r="J90" s="184"/>
    </row>
    <row r="91" spans="1:10" ht="15" customHeight="1" x14ac:dyDescent="0.25">
      <c r="A91" s="77"/>
      <c r="B91" s="77"/>
      <c r="C91" s="97" t="str">
        <f t="shared" si="2"/>
        <v/>
      </c>
      <c r="D91" s="77"/>
      <c r="E91" s="184"/>
      <c r="F91" s="77"/>
      <c r="G91" s="77"/>
      <c r="H91" s="77"/>
      <c r="I91" s="77"/>
      <c r="J91" s="184"/>
    </row>
    <row r="92" spans="1:10" ht="15" customHeight="1" x14ac:dyDescent="0.25">
      <c r="A92" s="77"/>
      <c r="B92" s="77"/>
      <c r="C92" s="97" t="str">
        <f t="shared" si="2"/>
        <v/>
      </c>
      <c r="D92" s="77"/>
      <c r="E92" s="184"/>
      <c r="F92" s="77"/>
      <c r="G92" s="77"/>
      <c r="H92" s="77"/>
      <c r="I92" s="77"/>
      <c r="J92" s="184"/>
    </row>
    <row r="93" spans="1:10" ht="15" customHeight="1" x14ac:dyDescent="0.25">
      <c r="A93" s="77"/>
      <c r="B93" s="77"/>
      <c r="C93" s="97" t="str">
        <f t="shared" si="2"/>
        <v/>
      </c>
      <c r="D93" s="77"/>
      <c r="E93" s="184"/>
      <c r="F93" s="77"/>
      <c r="G93" s="77"/>
      <c r="H93" s="77"/>
      <c r="I93" s="77"/>
      <c r="J93" s="184"/>
    </row>
    <row r="94" spans="1:10" ht="15" customHeight="1" x14ac:dyDescent="0.25">
      <c r="A94" s="77"/>
      <c r="B94" s="77"/>
      <c r="C94" s="97" t="str">
        <f t="shared" si="2"/>
        <v/>
      </c>
      <c r="D94" s="77"/>
      <c r="E94" s="184"/>
      <c r="F94" s="77"/>
      <c r="G94" s="77"/>
      <c r="H94" s="77"/>
      <c r="I94" s="77"/>
      <c r="J94" s="184"/>
    </row>
    <row r="95" spans="1:10" ht="15" customHeight="1" x14ac:dyDescent="0.25">
      <c r="A95" s="77"/>
      <c r="B95" s="77"/>
      <c r="C95" s="97" t="str">
        <f t="shared" si="2"/>
        <v/>
      </c>
      <c r="D95" s="77"/>
      <c r="E95" s="184"/>
      <c r="F95" s="77"/>
      <c r="G95" s="77"/>
      <c r="H95" s="77"/>
      <c r="I95" s="77"/>
      <c r="J95" s="184"/>
    </row>
    <row r="96" spans="1:10" ht="15" customHeight="1" x14ac:dyDescent="0.25">
      <c r="A96" s="77"/>
      <c r="B96" s="77"/>
      <c r="C96" s="97" t="str">
        <f t="shared" si="2"/>
        <v/>
      </c>
      <c r="D96" s="77"/>
      <c r="E96" s="184"/>
      <c r="F96" s="77"/>
      <c r="G96" s="77"/>
      <c r="H96" s="77"/>
      <c r="I96" s="77"/>
      <c r="J96" s="184"/>
    </row>
    <row r="97" spans="1:10" ht="15" customHeight="1" x14ac:dyDescent="0.25">
      <c r="A97" s="77"/>
      <c r="B97" s="77"/>
      <c r="C97" s="97" t="str">
        <f t="shared" si="2"/>
        <v/>
      </c>
      <c r="D97" s="77"/>
      <c r="E97" s="184"/>
      <c r="F97" s="77"/>
      <c r="G97" s="77"/>
      <c r="H97" s="77"/>
      <c r="I97" s="77"/>
      <c r="J97" s="184"/>
    </row>
    <row r="98" spans="1:10" ht="15" customHeight="1" x14ac:dyDescent="0.25">
      <c r="A98" s="77"/>
      <c r="B98" s="77"/>
      <c r="C98" s="97" t="str">
        <f t="shared" si="2"/>
        <v/>
      </c>
      <c r="D98" s="77"/>
      <c r="E98" s="184"/>
      <c r="F98" s="77"/>
      <c r="G98" s="77"/>
      <c r="H98" s="77"/>
      <c r="I98" s="77"/>
      <c r="J98" s="184"/>
    </row>
    <row r="99" spans="1:10" ht="15" customHeight="1" x14ac:dyDescent="0.25">
      <c r="A99" s="77"/>
      <c r="B99" s="77"/>
      <c r="C99" s="97" t="str">
        <f t="shared" ref="C99:C130" si="3">IFERROR(VLOOKUP(B99,Projects_Table,2,FALSE()),"")</f>
        <v/>
      </c>
      <c r="D99" s="77"/>
      <c r="E99" s="184"/>
      <c r="F99" s="77"/>
      <c r="G99" s="77"/>
      <c r="H99" s="77"/>
      <c r="I99" s="77"/>
      <c r="J99" s="184"/>
    </row>
    <row r="100" spans="1:10" ht="15" customHeight="1" x14ac:dyDescent="0.25">
      <c r="A100" s="77"/>
      <c r="B100" s="77"/>
      <c r="C100" s="97" t="str">
        <f t="shared" si="3"/>
        <v/>
      </c>
      <c r="D100" s="77"/>
      <c r="E100" s="184"/>
      <c r="F100" s="77"/>
      <c r="G100" s="77"/>
      <c r="H100" s="77"/>
      <c r="I100" s="77"/>
      <c r="J100" s="184"/>
    </row>
    <row r="101" spans="1:10" ht="15" customHeight="1" x14ac:dyDescent="0.25">
      <c r="A101" s="77"/>
      <c r="B101" s="77"/>
      <c r="C101" s="97" t="str">
        <f t="shared" si="3"/>
        <v/>
      </c>
      <c r="D101" s="77"/>
      <c r="E101" s="184"/>
      <c r="F101" s="77"/>
      <c r="G101" s="77"/>
      <c r="H101" s="77"/>
      <c r="I101" s="77"/>
      <c r="J101" s="184"/>
    </row>
    <row r="102" spans="1:10" ht="15" customHeight="1" x14ac:dyDescent="0.25">
      <c r="A102" s="77"/>
      <c r="B102" s="77"/>
      <c r="C102" s="97" t="str">
        <f t="shared" si="3"/>
        <v/>
      </c>
      <c r="D102" s="77"/>
      <c r="E102" s="184"/>
      <c r="F102" s="77"/>
      <c r="G102" s="77"/>
      <c r="H102" s="77"/>
      <c r="I102" s="77"/>
      <c r="J102" s="184"/>
    </row>
    <row r="103" spans="1:10" ht="15" customHeight="1" x14ac:dyDescent="0.25">
      <c r="A103" s="77"/>
      <c r="B103" s="77"/>
      <c r="C103" s="97" t="str">
        <f t="shared" si="3"/>
        <v/>
      </c>
      <c r="D103" s="77"/>
      <c r="E103" s="184"/>
      <c r="F103" s="77"/>
      <c r="G103" s="77"/>
      <c r="H103" s="77"/>
      <c r="I103" s="77"/>
      <c r="J103" s="184"/>
    </row>
    <row r="104" spans="1:10" ht="15" customHeight="1" x14ac:dyDescent="0.25">
      <c r="A104" s="77"/>
      <c r="B104" s="77"/>
      <c r="C104" s="97" t="str">
        <f t="shared" si="3"/>
        <v/>
      </c>
      <c r="D104" s="77"/>
      <c r="E104" s="184"/>
      <c r="F104" s="77"/>
      <c r="G104" s="77"/>
      <c r="H104" s="77"/>
      <c r="I104" s="77"/>
      <c r="J104" s="184"/>
    </row>
    <row r="105" spans="1:10" ht="15" customHeight="1" x14ac:dyDescent="0.25">
      <c r="A105" s="77"/>
      <c r="B105" s="77"/>
      <c r="C105" s="97" t="str">
        <f t="shared" si="3"/>
        <v/>
      </c>
      <c r="D105" s="77"/>
      <c r="E105" s="184"/>
      <c r="F105" s="77"/>
      <c r="G105" s="77"/>
      <c r="H105" s="77"/>
      <c r="I105" s="77"/>
      <c r="J105" s="184"/>
    </row>
    <row r="106" spans="1:10" ht="15" customHeight="1" x14ac:dyDescent="0.25">
      <c r="A106" s="77"/>
      <c r="B106" s="77"/>
      <c r="C106" s="97" t="str">
        <f t="shared" si="3"/>
        <v/>
      </c>
      <c r="D106" s="77"/>
      <c r="E106" s="184"/>
      <c r="F106" s="77"/>
      <c r="G106" s="77"/>
      <c r="H106" s="77"/>
      <c r="I106" s="77"/>
      <c r="J106" s="184"/>
    </row>
    <row r="107" spans="1:10" ht="15" customHeight="1" x14ac:dyDescent="0.25">
      <c r="A107" s="77"/>
      <c r="B107" s="77"/>
      <c r="C107" s="97" t="str">
        <f t="shared" si="3"/>
        <v/>
      </c>
      <c r="D107" s="77"/>
      <c r="E107" s="184"/>
      <c r="F107" s="77"/>
      <c r="G107" s="77"/>
      <c r="H107" s="77"/>
      <c r="I107" s="77"/>
      <c r="J107" s="184"/>
    </row>
    <row r="108" spans="1:10" ht="15" customHeight="1" x14ac:dyDescent="0.25">
      <c r="A108" s="77"/>
      <c r="B108" s="77"/>
      <c r="C108" s="97" t="str">
        <f t="shared" si="3"/>
        <v/>
      </c>
      <c r="D108" s="77"/>
      <c r="E108" s="184"/>
      <c r="F108" s="77"/>
      <c r="G108" s="77"/>
      <c r="H108" s="77"/>
      <c r="I108" s="77"/>
      <c r="J108" s="184"/>
    </row>
    <row r="109" spans="1:10" ht="15" customHeight="1" x14ac:dyDescent="0.25">
      <c r="A109" s="77"/>
      <c r="B109" s="77"/>
      <c r="C109" s="97" t="str">
        <f t="shared" si="3"/>
        <v/>
      </c>
      <c r="D109" s="77"/>
      <c r="E109" s="184"/>
      <c r="F109" s="77"/>
      <c r="G109" s="77"/>
      <c r="H109" s="77"/>
      <c r="I109" s="77"/>
      <c r="J109" s="184"/>
    </row>
    <row r="110" spans="1:10" ht="15" customHeight="1" x14ac:dyDescent="0.25">
      <c r="A110" s="77"/>
      <c r="B110" s="77"/>
      <c r="C110" s="97" t="str">
        <f t="shared" si="3"/>
        <v/>
      </c>
      <c r="D110" s="77"/>
      <c r="E110" s="184"/>
      <c r="F110" s="77"/>
      <c r="G110" s="77"/>
      <c r="H110" s="77"/>
      <c r="I110" s="77"/>
      <c r="J110" s="184"/>
    </row>
    <row r="111" spans="1:10" ht="15" customHeight="1" x14ac:dyDescent="0.25">
      <c r="A111" s="77"/>
      <c r="B111" s="77"/>
      <c r="C111" s="97" t="str">
        <f t="shared" si="3"/>
        <v/>
      </c>
      <c r="D111" s="77"/>
      <c r="E111" s="184"/>
      <c r="F111" s="77"/>
      <c r="G111" s="77"/>
      <c r="H111" s="77"/>
      <c r="I111" s="77"/>
      <c r="J111" s="184"/>
    </row>
    <row r="112" spans="1:10" ht="15" customHeight="1" x14ac:dyDescent="0.25">
      <c r="A112" s="77"/>
      <c r="B112" s="77"/>
      <c r="C112" s="97" t="str">
        <f t="shared" si="3"/>
        <v/>
      </c>
      <c r="D112" s="77"/>
      <c r="E112" s="184"/>
      <c r="F112" s="77"/>
      <c r="G112" s="77"/>
      <c r="H112" s="77"/>
      <c r="I112" s="77"/>
      <c r="J112" s="184"/>
    </row>
    <row r="113" spans="1:10" ht="15" customHeight="1" x14ac:dyDescent="0.25">
      <c r="A113" s="77"/>
      <c r="B113" s="77"/>
      <c r="C113" s="97" t="str">
        <f t="shared" si="3"/>
        <v/>
      </c>
      <c r="D113" s="77"/>
      <c r="E113" s="184"/>
      <c r="F113" s="77"/>
      <c r="G113" s="77"/>
      <c r="H113" s="77"/>
      <c r="I113" s="77"/>
      <c r="J113" s="184"/>
    </row>
    <row r="114" spans="1:10" ht="15" customHeight="1" x14ac:dyDescent="0.25">
      <c r="A114" s="77"/>
      <c r="B114" s="77"/>
      <c r="C114" s="97" t="str">
        <f t="shared" si="3"/>
        <v/>
      </c>
      <c r="D114" s="77"/>
      <c r="E114" s="184"/>
      <c r="F114" s="77"/>
      <c r="G114" s="77"/>
      <c r="H114" s="77"/>
      <c r="I114" s="77"/>
      <c r="J114" s="184"/>
    </row>
    <row r="115" spans="1:10" ht="15" customHeight="1" x14ac:dyDescent="0.25">
      <c r="A115" s="77"/>
      <c r="B115" s="77"/>
      <c r="C115" s="97" t="str">
        <f t="shared" si="3"/>
        <v/>
      </c>
      <c r="D115" s="77"/>
      <c r="E115" s="184"/>
      <c r="F115" s="77"/>
      <c r="G115" s="77"/>
      <c r="H115" s="77"/>
      <c r="I115" s="77"/>
      <c r="J115" s="184"/>
    </row>
    <row r="116" spans="1:10" ht="15" customHeight="1" x14ac:dyDescent="0.25">
      <c r="A116" s="77"/>
      <c r="B116" s="77"/>
      <c r="C116" s="97" t="str">
        <f t="shared" si="3"/>
        <v/>
      </c>
      <c r="D116" s="77"/>
      <c r="E116" s="184"/>
      <c r="F116" s="77"/>
      <c r="G116" s="77"/>
      <c r="H116" s="77"/>
      <c r="I116" s="77"/>
      <c r="J116" s="184"/>
    </row>
    <row r="117" spans="1:10" ht="15" customHeight="1" x14ac:dyDescent="0.25">
      <c r="A117" s="77"/>
      <c r="B117" s="77"/>
      <c r="C117" s="97" t="str">
        <f t="shared" si="3"/>
        <v/>
      </c>
      <c r="D117" s="77"/>
      <c r="E117" s="184"/>
      <c r="F117" s="77"/>
      <c r="G117" s="77"/>
      <c r="H117" s="77"/>
      <c r="I117" s="77"/>
      <c r="J117" s="184"/>
    </row>
    <row r="118" spans="1:10" ht="15" customHeight="1" x14ac:dyDescent="0.25">
      <c r="A118" s="77"/>
      <c r="B118" s="77"/>
      <c r="C118" s="97" t="str">
        <f t="shared" si="3"/>
        <v/>
      </c>
      <c r="D118" s="77"/>
      <c r="E118" s="184"/>
      <c r="F118" s="77"/>
      <c r="G118" s="77"/>
      <c r="H118" s="77"/>
      <c r="I118" s="77"/>
      <c r="J118" s="184"/>
    </row>
    <row r="119" spans="1:10" ht="15" customHeight="1" x14ac:dyDescent="0.25">
      <c r="A119" s="77"/>
      <c r="B119" s="77"/>
      <c r="C119" s="97" t="str">
        <f t="shared" si="3"/>
        <v/>
      </c>
      <c r="D119" s="77"/>
      <c r="E119" s="184"/>
      <c r="F119" s="77"/>
      <c r="G119" s="77"/>
      <c r="H119" s="77"/>
      <c r="I119" s="77"/>
      <c r="J119" s="184"/>
    </row>
    <row r="120" spans="1:10" ht="15" customHeight="1" x14ac:dyDescent="0.25">
      <c r="A120" s="77"/>
      <c r="B120" s="77"/>
      <c r="C120" s="97" t="str">
        <f t="shared" si="3"/>
        <v/>
      </c>
      <c r="D120" s="77"/>
      <c r="E120" s="184"/>
      <c r="F120" s="77"/>
      <c r="G120" s="77"/>
      <c r="H120" s="77"/>
      <c r="I120" s="77"/>
      <c r="J120" s="184"/>
    </row>
    <row r="121" spans="1:10" ht="15" customHeight="1" x14ac:dyDescent="0.25">
      <c r="A121" s="77"/>
      <c r="B121" s="77"/>
      <c r="C121" s="97" t="str">
        <f t="shared" si="3"/>
        <v/>
      </c>
      <c r="D121" s="77"/>
      <c r="E121" s="184"/>
      <c r="F121" s="77"/>
      <c r="G121" s="77"/>
      <c r="H121" s="77"/>
      <c r="I121" s="77"/>
      <c r="J121" s="184"/>
    </row>
    <row r="122" spans="1:10" ht="15" customHeight="1" x14ac:dyDescent="0.25">
      <c r="A122" s="77"/>
      <c r="B122" s="77"/>
      <c r="C122" s="97" t="str">
        <f t="shared" si="3"/>
        <v/>
      </c>
      <c r="D122" s="77"/>
      <c r="E122" s="184"/>
      <c r="F122" s="77"/>
      <c r="G122" s="77"/>
      <c r="H122" s="77"/>
      <c r="I122" s="77"/>
      <c r="J122" s="184"/>
    </row>
    <row r="123" spans="1:10" ht="15" customHeight="1" x14ac:dyDescent="0.25">
      <c r="A123" s="77"/>
      <c r="B123" s="77"/>
      <c r="C123" s="97" t="str">
        <f t="shared" si="3"/>
        <v/>
      </c>
      <c r="D123" s="77"/>
      <c r="E123" s="184"/>
      <c r="F123" s="77"/>
      <c r="G123" s="77"/>
      <c r="H123" s="77"/>
      <c r="I123" s="77"/>
      <c r="J123" s="184"/>
    </row>
    <row r="124" spans="1:10" ht="15" customHeight="1" x14ac:dyDescent="0.25">
      <c r="A124" s="77"/>
      <c r="B124" s="77"/>
      <c r="C124" s="97" t="str">
        <f t="shared" si="3"/>
        <v/>
      </c>
      <c r="D124" s="77"/>
      <c r="E124" s="184"/>
      <c r="F124" s="77"/>
      <c r="G124" s="77"/>
      <c r="H124" s="77"/>
      <c r="I124" s="77"/>
      <c r="J124" s="184"/>
    </row>
    <row r="125" spans="1:10" ht="15" customHeight="1" x14ac:dyDescent="0.25">
      <c r="A125" s="77"/>
      <c r="B125" s="77"/>
      <c r="C125" s="97" t="str">
        <f t="shared" si="3"/>
        <v/>
      </c>
      <c r="D125" s="77"/>
      <c r="E125" s="184"/>
      <c r="F125" s="77"/>
      <c r="G125" s="77"/>
      <c r="H125" s="77"/>
      <c r="I125" s="77"/>
      <c r="J125" s="184"/>
    </row>
    <row r="126" spans="1:10" ht="15" customHeight="1" x14ac:dyDescent="0.25">
      <c r="A126" s="77"/>
      <c r="B126" s="77"/>
      <c r="C126" s="97" t="str">
        <f t="shared" si="3"/>
        <v/>
      </c>
      <c r="D126" s="77"/>
      <c r="E126" s="184"/>
      <c r="F126" s="77"/>
      <c r="G126" s="77"/>
      <c r="H126" s="77"/>
      <c r="I126" s="77"/>
      <c r="J126" s="184"/>
    </row>
    <row r="127" spans="1:10" ht="15" customHeight="1" x14ac:dyDescent="0.25">
      <c r="A127" s="77"/>
      <c r="B127" s="77"/>
      <c r="C127" s="97" t="str">
        <f t="shared" si="3"/>
        <v/>
      </c>
      <c r="D127" s="77"/>
      <c r="E127" s="184"/>
      <c r="F127" s="77"/>
      <c r="G127" s="77"/>
      <c r="H127" s="77"/>
      <c r="I127" s="77"/>
      <c r="J127" s="184"/>
    </row>
    <row r="128" spans="1:10" ht="15" customHeight="1" x14ac:dyDescent="0.25">
      <c r="A128" s="77"/>
      <c r="B128" s="77"/>
      <c r="C128" s="97" t="str">
        <f t="shared" si="3"/>
        <v/>
      </c>
      <c r="D128" s="77"/>
      <c r="E128" s="184"/>
      <c r="F128" s="77"/>
      <c r="G128" s="77"/>
      <c r="H128" s="77"/>
      <c r="I128" s="77"/>
      <c r="J128" s="184"/>
    </row>
    <row r="129" spans="1:10" ht="15" customHeight="1" x14ac:dyDescent="0.25">
      <c r="A129" s="77"/>
      <c r="B129" s="77"/>
      <c r="C129" s="97" t="str">
        <f t="shared" si="3"/>
        <v/>
      </c>
      <c r="D129" s="77"/>
      <c r="E129" s="184"/>
      <c r="F129" s="77"/>
      <c r="G129" s="77"/>
      <c r="H129" s="77"/>
      <c r="I129" s="77"/>
      <c r="J129" s="184"/>
    </row>
    <row r="130" spans="1:10" ht="15" customHeight="1" x14ac:dyDescent="0.25">
      <c r="A130" s="77"/>
      <c r="B130" s="77"/>
      <c r="C130" s="97" t="str">
        <f t="shared" si="3"/>
        <v/>
      </c>
      <c r="D130" s="77"/>
      <c r="E130" s="184"/>
      <c r="F130" s="77"/>
      <c r="G130" s="77"/>
      <c r="H130" s="77"/>
      <c r="I130" s="77"/>
      <c r="J130" s="184"/>
    </row>
    <row r="131" spans="1:10" ht="15" customHeight="1" x14ac:dyDescent="0.25">
      <c r="A131" s="77"/>
      <c r="B131" s="77"/>
      <c r="C131" s="97" t="str">
        <f t="shared" ref="C131:C152" si="4">IFERROR(VLOOKUP(B131,Projects_Table,2,FALSE()),"")</f>
        <v/>
      </c>
      <c r="D131" s="77"/>
      <c r="E131" s="184"/>
      <c r="F131" s="77"/>
      <c r="G131" s="77"/>
      <c r="H131" s="77"/>
      <c r="I131" s="77"/>
      <c r="J131" s="184"/>
    </row>
    <row r="132" spans="1:10" ht="15" customHeight="1" x14ac:dyDescent="0.25">
      <c r="A132" s="77"/>
      <c r="B132" s="77"/>
      <c r="C132" s="97" t="str">
        <f t="shared" si="4"/>
        <v/>
      </c>
      <c r="D132" s="77"/>
      <c r="E132" s="184"/>
      <c r="F132" s="77"/>
      <c r="G132" s="77"/>
      <c r="H132" s="77"/>
      <c r="I132" s="77"/>
      <c r="J132" s="184"/>
    </row>
    <row r="133" spans="1:10" ht="15" customHeight="1" x14ac:dyDescent="0.25">
      <c r="A133" s="77"/>
      <c r="B133" s="77"/>
      <c r="C133" s="97" t="str">
        <f t="shared" si="4"/>
        <v/>
      </c>
      <c r="D133" s="77"/>
      <c r="E133" s="184"/>
      <c r="F133" s="77"/>
      <c r="G133" s="77"/>
      <c r="H133" s="77"/>
      <c r="I133" s="77"/>
      <c r="J133" s="184"/>
    </row>
    <row r="134" spans="1:10" ht="15" customHeight="1" x14ac:dyDescent="0.25">
      <c r="A134" s="77"/>
      <c r="B134" s="77"/>
      <c r="C134" s="97" t="str">
        <f t="shared" si="4"/>
        <v/>
      </c>
      <c r="D134" s="77"/>
      <c r="E134" s="184"/>
      <c r="F134" s="77"/>
      <c r="G134" s="77"/>
      <c r="H134" s="77"/>
      <c r="I134" s="77"/>
      <c r="J134" s="184"/>
    </row>
    <row r="135" spans="1:10" ht="15" customHeight="1" x14ac:dyDescent="0.25">
      <c r="A135" s="77"/>
      <c r="B135" s="77"/>
      <c r="C135" s="97" t="str">
        <f t="shared" si="4"/>
        <v/>
      </c>
      <c r="D135" s="77"/>
      <c r="E135" s="184"/>
      <c r="F135" s="77"/>
      <c r="G135" s="77"/>
      <c r="H135" s="77"/>
      <c r="I135" s="77"/>
      <c r="J135" s="184"/>
    </row>
    <row r="136" spans="1:10" ht="15" customHeight="1" x14ac:dyDescent="0.25">
      <c r="A136" s="77"/>
      <c r="B136" s="77"/>
      <c r="C136" s="97" t="str">
        <f t="shared" si="4"/>
        <v/>
      </c>
      <c r="D136" s="77"/>
      <c r="E136" s="184"/>
      <c r="F136" s="77"/>
      <c r="G136" s="77"/>
      <c r="H136" s="77"/>
      <c r="I136" s="77"/>
      <c r="J136" s="184"/>
    </row>
    <row r="137" spans="1:10" ht="15" customHeight="1" x14ac:dyDescent="0.25">
      <c r="A137" s="77"/>
      <c r="B137" s="77"/>
      <c r="C137" s="97" t="str">
        <f t="shared" si="4"/>
        <v/>
      </c>
      <c r="D137" s="77"/>
      <c r="E137" s="184"/>
      <c r="F137" s="77"/>
      <c r="G137" s="77"/>
      <c r="H137" s="77"/>
      <c r="I137" s="77"/>
      <c r="J137" s="184"/>
    </row>
    <row r="138" spans="1:10" ht="15" customHeight="1" x14ac:dyDescent="0.25">
      <c r="A138" s="77"/>
      <c r="B138" s="77"/>
      <c r="C138" s="97" t="str">
        <f t="shared" si="4"/>
        <v/>
      </c>
      <c r="D138" s="77"/>
      <c r="E138" s="184"/>
      <c r="F138" s="77"/>
      <c r="G138" s="77"/>
      <c r="H138" s="77"/>
      <c r="I138" s="77"/>
      <c r="J138" s="184"/>
    </row>
    <row r="139" spans="1:10" ht="15" customHeight="1" x14ac:dyDescent="0.25">
      <c r="A139" s="77"/>
      <c r="B139" s="77"/>
      <c r="C139" s="97" t="str">
        <f t="shared" si="4"/>
        <v/>
      </c>
      <c r="D139" s="77"/>
      <c r="E139" s="184"/>
      <c r="F139" s="77"/>
      <c r="G139" s="77"/>
      <c r="H139" s="77"/>
      <c r="I139" s="77"/>
      <c r="J139" s="184"/>
    </row>
    <row r="140" spans="1:10" ht="15" customHeight="1" x14ac:dyDescent="0.25">
      <c r="A140" s="77"/>
      <c r="B140" s="77"/>
      <c r="C140" s="97" t="str">
        <f t="shared" si="4"/>
        <v/>
      </c>
      <c r="D140" s="77"/>
      <c r="E140" s="184"/>
      <c r="F140" s="77"/>
      <c r="G140" s="77"/>
      <c r="H140" s="77"/>
      <c r="I140" s="77"/>
      <c r="J140" s="184"/>
    </row>
    <row r="141" spans="1:10" ht="15" customHeight="1" x14ac:dyDescent="0.25">
      <c r="A141" s="77"/>
      <c r="B141" s="77"/>
      <c r="C141" s="97" t="str">
        <f t="shared" si="4"/>
        <v/>
      </c>
      <c r="D141" s="77"/>
      <c r="E141" s="184"/>
      <c r="F141" s="77"/>
      <c r="G141" s="77"/>
      <c r="H141" s="77"/>
      <c r="I141" s="77"/>
      <c r="J141" s="184"/>
    </row>
    <row r="142" spans="1:10" ht="15" customHeight="1" x14ac:dyDescent="0.25">
      <c r="A142" s="77"/>
      <c r="B142" s="77"/>
      <c r="C142" s="97" t="str">
        <f t="shared" si="4"/>
        <v/>
      </c>
      <c r="D142" s="77"/>
      <c r="E142" s="184"/>
      <c r="F142" s="77"/>
      <c r="G142" s="77"/>
      <c r="H142" s="77"/>
      <c r="I142" s="77"/>
      <c r="J142" s="184"/>
    </row>
    <row r="143" spans="1:10" ht="15" customHeight="1" x14ac:dyDescent="0.25">
      <c r="A143" s="77"/>
      <c r="B143" s="77"/>
      <c r="C143" s="97" t="str">
        <f t="shared" si="4"/>
        <v/>
      </c>
      <c r="D143" s="77"/>
      <c r="E143" s="184"/>
      <c r="F143" s="77"/>
      <c r="G143" s="77"/>
      <c r="H143" s="77"/>
      <c r="I143" s="77"/>
      <c r="J143" s="184"/>
    </row>
    <row r="144" spans="1:10" ht="15" customHeight="1" x14ac:dyDescent="0.25">
      <c r="A144" s="77"/>
      <c r="B144" s="77"/>
      <c r="C144" s="97" t="str">
        <f t="shared" si="4"/>
        <v/>
      </c>
      <c r="D144" s="77"/>
      <c r="E144" s="184"/>
      <c r="F144" s="77"/>
      <c r="G144" s="77"/>
      <c r="H144" s="77"/>
      <c r="I144" s="77"/>
      <c r="J144" s="184"/>
    </row>
    <row r="145" spans="1:10" ht="15" customHeight="1" x14ac:dyDescent="0.25">
      <c r="A145" s="77"/>
      <c r="B145" s="77"/>
      <c r="C145" s="97" t="str">
        <f t="shared" si="4"/>
        <v/>
      </c>
      <c r="D145" s="77"/>
      <c r="E145" s="184"/>
      <c r="F145" s="77"/>
      <c r="G145" s="77"/>
      <c r="H145" s="77"/>
      <c r="I145" s="77"/>
      <c r="J145" s="184"/>
    </row>
    <row r="146" spans="1:10" ht="15" customHeight="1" x14ac:dyDescent="0.25">
      <c r="A146" s="77"/>
      <c r="B146" s="77"/>
      <c r="C146" s="97" t="str">
        <f t="shared" si="4"/>
        <v/>
      </c>
      <c r="D146" s="77"/>
      <c r="E146" s="184"/>
      <c r="F146" s="77"/>
      <c r="G146" s="77"/>
      <c r="H146" s="77"/>
      <c r="I146" s="77"/>
      <c r="J146" s="184"/>
    </row>
    <row r="147" spans="1:10" ht="15" customHeight="1" x14ac:dyDescent="0.25">
      <c r="A147" s="77"/>
      <c r="B147" s="77"/>
      <c r="C147" s="97" t="str">
        <f t="shared" si="4"/>
        <v/>
      </c>
      <c r="D147" s="77"/>
      <c r="E147" s="184"/>
      <c r="F147" s="77"/>
      <c r="G147" s="77"/>
      <c r="H147" s="77"/>
      <c r="I147" s="77"/>
      <c r="J147" s="184"/>
    </row>
    <row r="148" spans="1:10" ht="15" customHeight="1" x14ac:dyDescent="0.25">
      <c r="A148" s="77"/>
      <c r="B148" s="77"/>
      <c r="C148" s="97" t="str">
        <f t="shared" si="4"/>
        <v/>
      </c>
      <c r="D148" s="77"/>
      <c r="E148" s="184"/>
      <c r="F148" s="77"/>
      <c r="G148" s="77"/>
      <c r="H148" s="77"/>
      <c r="I148" s="77"/>
      <c r="J148" s="184"/>
    </row>
    <row r="149" spans="1:10" ht="15" customHeight="1" x14ac:dyDescent="0.25">
      <c r="A149" s="77"/>
      <c r="B149" s="77"/>
      <c r="C149" s="97" t="str">
        <f t="shared" si="4"/>
        <v/>
      </c>
      <c r="D149" s="77"/>
      <c r="E149" s="184"/>
      <c r="F149" s="77"/>
      <c r="G149" s="77"/>
      <c r="H149" s="77"/>
      <c r="I149" s="77"/>
      <c r="J149" s="184"/>
    </row>
    <row r="150" spans="1:10" ht="15" customHeight="1" x14ac:dyDescent="0.25">
      <c r="A150" s="77"/>
      <c r="B150" s="77"/>
      <c r="C150" s="97" t="str">
        <f t="shared" si="4"/>
        <v/>
      </c>
      <c r="D150" s="77"/>
      <c r="E150" s="184"/>
      <c r="F150" s="77"/>
      <c r="G150" s="77"/>
      <c r="H150" s="77"/>
      <c r="I150" s="77"/>
      <c r="J150" s="184"/>
    </row>
    <row r="151" spans="1:10" ht="15" customHeight="1" x14ac:dyDescent="0.25">
      <c r="A151" s="77"/>
      <c r="B151" s="77"/>
      <c r="C151" s="97" t="str">
        <f t="shared" si="4"/>
        <v/>
      </c>
      <c r="D151" s="77"/>
      <c r="E151" s="184"/>
      <c r="F151" s="77"/>
      <c r="G151" s="77"/>
      <c r="H151" s="77"/>
      <c r="I151" s="77"/>
      <c r="J151" s="184"/>
    </row>
    <row r="152" spans="1:10" ht="15" customHeight="1" x14ac:dyDescent="0.25">
      <c r="A152" s="77"/>
      <c r="B152" s="77"/>
      <c r="C152" s="97" t="str">
        <f t="shared" si="4"/>
        <v/>
      </c>
      <c r="D152" s="77"/>
      <c r="E152" s="184"/>
      <c r="F152" s="77"/>
      <c r="G152" s="77"/>
      <c r="H152" s="77"/>
      <c r="I152" s="77"/>
      <c r="J152" s="18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J1"/>
  </mergeCells>
  <conditionalFormatting sqref="F3:F152">
    <cfRule type="expression" dxfId="17" priority="4">
      <formula>$F3="Critical"</formula>
    </cfRule>
    <cfRule type="expression" dxfId="16" priority="5">
      <formula>$F3="High"</formula>
    </cfRule>
  </conditionalFormatting>
  <conditionalFormatting sqref="I3:I152">
    <cfRule type="expression" dxfId="15" priority="2">
      <formula>$I3="Resolved"</formula>
    </cfRule>
    <cfRule type="expression" dxfId="14" priority="3">
      <formula>OR($I3="New",$I3="In Progress")</formula>
    </cfRule>
  </conditionalFormatting>
  <dataValidations count="2">
    <dataValidation type="list" allowBlank="1" sqref="F3:F152" xr:uid="{00000000-0002-0000-1C00-000000000000}">
      <formula1>"Low,Medium,High,Critical"</formula1>
      <formula2>0</formula2>
    </dataValidation>
    <dataValidation type="list" allowBlank="1" sqref="I3:I152" xr:uid="{00000000-0002-0000-1C00-000001000000}">
      <formula1>"New,In Progress,Scheduled,Awaiting customer,Resolved,Closed,Void"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L23"/>
  <sheetViews>
    <sheetView zoomScaleNormal="100" workbookViewId="0"/>
  </sheetViews>
  <sheetFormatPr defaultColWidth="8.7109375" defaultRowHeight="15" x14ac:dyDescent="0.25"/>
  <cols>
    <col min="1" max="1" width="12" customWidth="1"/>
    <col min="2" max="2" width="28" customWidth="1"/>
    <col min="3" max="3" width="16" customWidth="1"/>
    <col min="4" max="5" width="14" customWidth="1"/>
    <col min="6" max="6" width="10" customWidth="1"/>
    <col min="7" max="11" width="14" customWidth="1"/>
    <col min="12" max="12" width="20" customWidth="1"/>
  </cols>
  <sheetData>
    <row r="1" spans="1:12" ht="18" x14ac:dyDescent="0.25">
      <c r="A1" s="60" t="s">
        <v>1248</v>
      </c>
      <c r="B1" s="61"/>
      <c r="C1" s="61"/>
      <c r="D1" s="61"/>
      <c r="E1" s="61"/>
      <c r="F1" s="61"/>
      <c r="G1" s="133" t="s">
        <v>1249</v>
      </c>
      <c r="H1" s="61"/>
      <c r="I1" s="61"/>
      <c r="J1" s="61"/>
      <c r="K1" s="61"/>
      <c r="L1" s="61"/>
    </row>
    <row r="2" spans="1:12" ht="27.75" customHeight="1" x14ac:dyDescent="0.25">
      <c r="A2" s="63" t="s">
        <v>1250</v>
      </c>
      <c r="B2" s="63" t="s">
        <v>1251</v>
      </c>
      <c r="C2" s="63" t="s">
        <v>334</v>
      </c>
      <c r="D2" s="63" t="s">
        <v>1252</v>
      </c>
      <c r="E2" s="63" t="s">
        <v>1253</v>
      </c>
      <c r="F2" s="63" t="s">
        <v>1254</v>
      </c>
      <c r="G2" s="63" t="s">
        <v>1255</v>
      </c>
      <c r="H2" s="63" t="s">
        <v>1256</v>
      </c>
      <c r="I2" s="63" t="s">
        <v>1257</v>
      </c>
      <c r="J2" s="63" t="s">
        <v>1258</v>
      </c>
      <c r="K2" s="63" t="s">
        <v>1259</v>
      </c>
      <c r="L2" s="63" t="s">
        <v>1260</v>
      </c>
    </row>
    <row r="3" spans="1:12" x14ac:dyDescent="0.25">
      <c r="A3" s="64" t="s">
        <v>1261</v>
      </c>
      <c r="B3" s="64" t="s">
        <v>1262</v>
      </c>
      <c r="C3" s="64" t="s">
        <v>470</v>
      </c>
      <c r="D3" s="65">
        <v>44635</v>
      </c>
      <c r="E3" s="66">
        <v>45000</v>
      </c>
      <c r="F3" s="64">
        <v>10</v>
      </c>
      <c r="G3" s="69">
        <f t="shared" ref="G3:G22" si="0">IFERROR(IF(OR(E3="",F3=""),"",E3/F3),"")</f>
        <v>4500</v>
      </c>
      <c r="H3" s="69">
        <f t="shared" ref="H3:H22" ca="1" si="1">IFERROR(IF(A3="","",MAX(0,E3-G3*((TODAY()-D3)/365))),"")</f>
        <v>25569.863013698628</v>
      </c>
      <c r="I3" s="65">
        <v>46091</v>
      </c>
      <c r="J3" s="64">
        <v>90</v>
      </c>
      <c r="K3" s="185">
        <f t="shared" ref="K3:K22" si="2">IFERROR(IF(OR(I3="",J3=""),"",I3+J3),"")</f>
        <v>46181</v>
      </c>
      <c r="L3" s="64" t="s">
        <v>1263</v>
      </c>
    </row>
    <row r="4" spans="1:12" x14ac:dyDescent="0.25">
      <c r="A4" s="64" t="s">
        <v>1264</v>
      </c>
      <c r="B4" s="64" t="s">
        <v>1265</v>
      </c>
      <c r="C4" s="64" t="s">
        <v>1266</v>
      </c>
      <c r="D4" s="65">
        <v>44348</v>
      </c>
      <c r="E4" s="66">
        <v>18000</v>
      </c>
      <c r="F4" s="64">
        <v>10</v>
      </c>
      <c r="G4" s="69">
        <f t="shared" si="0"/>
        <v>1800</v>
      </c>
      <c r="H4" s="69">
        <f t="shared" ca="1" si="1"/>
        <v>8812.6027397260277</v>
      </c>
      <c r="I4" s="65">
        <v>46073</v>
      </c>
      <c r="J4" s="64">
        <v>180</v>
      </c>
      <c r="K4" s="185">
        <f t="shared" si="2"/>
        <v>46253</v>
      </c>
      <c r="L4" s="64" t="s">
        <v>1267</v>
      </c>
    </row>
    <row r="5" spans="1:12" x14ac:dyDescent="0.25">
      <c r="A5" s="64" t="s">
        <v>1268</v>
      </c>
      <c r="B5" s="64" t="s">
        <v>1269</v>
      </c>
      <c r="C5" s="64" t="s">
        <v>1266</v>
      </c>
      <c r="D5" s="65">
        <v>44084</v>
      </c>
      <c r="E5" s="66">
        <v>22000</v>
      </c>
      <c r="F5" s="64">
        <v>10</v>
      </c>
      <c r="G5" s="69">
        <f t="shared" si="0"/>
        <v>2200</v>
      </c>
      <c r="H5" s="69">
        <f t="shared" ca="1" si="1"/>
        <v>9179.7260273972606</v>
      </c>
      <c r="I5" s="65">
        <v>46037</v>
      </c>
      <c r="J5" s="64">
        <v>180</v>
      </c>
      <c r="K5" s="185">
        <f t="shared" si="2"/>
        <v>46217</v>
      </c>
      <c r="L5" s="64" t="s">
        <v>1267</v>
      </c>
    </row>
    <row r="6" spans="1:12" x14ac:dyDescent="0.25">
      <c r="A6" s="64" t="s">
        <v>1270</v>
      </c>
      <c r="B6" s="64" t="s">
        <v>1271</v>
      </c>
      <c r="C6" s="64" t="s">
        <v>1272</v>
      </c>
      <c r="D6" s="65">
        <v>43952</v>
      </c>
      <c r="E6" s="66">
        <v>8500</v>
      </c>
      <c r="F6" s="64">
        <v>15</v>
      </c>
      <c r="G6" s="69">
        <f t="shared" si="0"/>
        <v>566.66666666666663</v>
      </c>
      <c r="H6" s="69">
        <f t="shared" ca="1" si="1"/>
        <v>4992.8767123287671</v>
      </c>
      <c r="I6" s="65">
        <v>46058</v>
      </c>
      <c r="J6" s="64">
        <v>90</v>
      </c>
      <c r="K6" s="185">
        <f t="shared" si="2"/>
        <v>46148</v>
      </c>
      <c r="L6" s="64" t="s">
        <v>1267</v>
      </c>
    </row>
    <row r="7" spans="1:12" x14ac:dyDescent="0.25">
      <c r="A7" s="64" t="s">
        <v>1273</v>
      </c>
      <c r="B7" s="64" t="s">
        <v>1274</v>
      </c>
      <c r="C7" s="64" t="s">
        <v>1275</v>
      </c>
      <c r="D7" s="65">
        <v>44501</v>
      </c>
      <c r="E7" s="66">
        <v>12000</v>
      </c>
      <c r="F7" s="64">
        <v>15</v>
      </c>
      <c r="G7" s="69">
        <f t="shared" si="0"/>
        <v>800</v>
      </c>
      <c r="H7" s="69">
        <f t="shared" ca="1" si="1"/>
        <v>8252.0547945205471</v>
      </c>
      <c r="I7" s="65">
        <v>46082</v>
      </c>
      <c r="J7" s="64">
        <v>180</v>
      </c>
      <c r="K7" s="185">
        <f t="shared" si="2"/>
        <v>46262</v>
      </c>
      <c r="L7" s="64" t="s">
        <v>1263</v>
      </c>
    </row>
    <row r="8" spans="1:12" x14ac:dyDescent="0.25">
      <c r="A8" s="64" t="s">
        <v>1276</v>
      </c>
      <c r="B8" s="64" t="s">
        <v>1277</v>
      </c>
      <c r="C8" s="64" t="s">
        <v>830</v>
      </c>
      <c r="D8" s="65">
        <v>45017</v>
      </c>
      <c r="E8" s="66">
        <v>28000</v>
      </c>
      <c r="F8" s="64">
        <v>8</v>
      </c>
      <c r="G8" s="69">
        <f t="shared" si="0"/>
        <v>3500</v>
      </c>
      <c r="H8" s="69">
        <f t="shared" ca="1" si="1"/>
        <v>16550.684931506847</v>
      </c>
      <c r="I8" s="65">
        <v>46122</v>
      </c>
      <c r="J8" s="64">
        <v>180</v>
      </c>
      <c r="K8" s="185">
        <f t="shared" si="2"/>
        <v>46302</v>
      </c>
      <c r="L8" s="64" t="s">
        <v>1267</v>
      </c>
    </row>
    <row r="9" spans="1:12" x14ac:dyDescent="0.25">
      <c r="A9" s="64" t="s">
        <v>1278</v>
      </c>
      <c r="B9" s="64" t="s">
        <v>1279</v>
      </c>
      <c r="C9" s="64" t="s">
        <v>830</v>
      </c>
      <c r="D9" s="65">
        <v>45337</v>
      </c>
      <c r="E9" s="66">
        <v>32000</v>
      </c>
      <c r="F9" s="64">
        <v>8</v>
      </c>
      <c r="G9" s="69">
        <f t="shared" si="0"/>
        <v>4000</v>
      </c>
      <c r="H9" s="69">
        <f t="shared" ca="1" si="1"/>
        <v>22421.917808219179</v>
      </c>
      <c r="I9" s="65">
        <v>46068</v>
      </c>
      <c r="J9" s="64">
        <v>180</v>
      </c>
      <c r="K9" s="185">
        <f t="shared" si="2"/>
        <v>46248</v>
      </c>
      <c r="L9" s="64" t="s">
        <v>1263</v>
      </c>
    </row>
    <row r="10" spans="1:12" x14ac:dyDescent="0.25">
      <c r="A10" s="64" t="s">
        <v>1280</v>
      </c>
      <c r="B10" s="64" t="s">
        <v>1281</v>
      </c>
      <c r="C10" s="64" t="s">
        <v>1272</v>
      </c>
      <c r="D10" s="65">
        <v>44774</v>
      </c>
      <c r="E10" s="66">
        <v>18000</v>
      </c>
      <c r="F10" s="64">
        <v>10</v>
      </c>
      <c r="G10" s="69">
        <f t="shared" si="0"/>
        <v>1800</v>
      </c>
      <c r="H10" s="69">
        <f t="shared" ca="1" si="1"/>
        <v>10913.424657534248</v>
      </c>
      <c r="I10" s="65">
        <v>46101</v>
      </c>
      <c r="J10" s="64">
        <v>180</v>
      </c>
      <c r="K10" s="185">
        <f t="shared" si="2"/>
        <v>46281</v>
      </c>
      <c r="L10" s="64" t="s">
        <v>1267</v>
      </c>
    </row>
    <row r="11" spans="1:12" x14ac:dyDescent="0.25">
      <c r="A11" s="64" t="s">
        <v>1282</v>
      </c>
      <c r="B11" s="64" t="s">
        <v>1283</v>
      </c>
      <c r="C11" s="64" t="s">
        <v>1272</v>
      </c>
      <c r="D11" s="65">
        <v>44206</v>
      </c>
      <c r="E11" s="66">
        <v>4500</v>
      </c>
      <c r="F11" s="64">
        <v>12</v>
      </c>
      <c r="G11" s="69">
        <f t="shared" si="0"/>
        <v>375</v>
      </c>
      <c r="H11" s="69">
        <f t="shared" ca="1" si="1"/>
        <v>2440.0684931506848</v>
      </c>
      <c r="I11" s="65">
        <v>45931</v>
      </c>
      <c r="J11" s="64">
        <v>365</v>
      </c>
      <c r="K11" s="185">
        <f t="shared" si="2"/>
        <v>46296</v>
      </c>
      <c r="L11" s="64" t="s">
        <v>1284</v>
      </c>
    </row>
    <row r="12" spans="1:12" x14ac:dyDescent="0.25">
      <c r="A12" s="64" t="s">
        <v>1285</v>
      </c>
      <c r="B12" s="64" t="s">
        <v>1286</v>
      </c>
      <c r="C12" s="64" t="s">
        <v>1287</v>
      </c>
      <c r="D12" s="65">
        <v>44927</v>
      </c>
      <c r="E12" s="66">
        <v>6500</v>
      </c>
      <c r="F12" s="64">
        <v>5</v>
      </c>
      <c r="G12" s="69">
        <f t="shared" si="0"/>
        <v>1300</v>
      </c>
      <c r="H12" s="69">
        <f t="shared" ca="1" si="1"/>
        <v>1926.8493150684926</v>
      </c>
      <c r="I12" s="65">
        <v>46023</v>
      </c>
      <c r="J12" s="64">
        <v>365</v>
      </c>
      <c r="K12" s="185">
        <f t="shared" si="2"/>
        <v>46388</v>
      </c>
      <c r="L12" s="64" t="s">
        <v>1267</v>
      </c>
    </row>
    <row r="13" spans="1:12" x14ac:dyDescent="0.25">
      <c r="A13" s="64"/>
      <c r="B13" s="64"/>
      <c r="C13" s="64"/>
      <c r="D13" s="65"/>
      <c r="E13" s="66"/>
      <c r="F13" s="64"/>
      <c r="G13" s="69" t="str">
        <f t="shared" si="0"/>
        <v/>
      </c>
      <c r="H13" s="69" t="str">
        <f t="shared" ca="1" si="1"/>
        <v/>
      </c>
      <c r="I13" s="65"/>
      <c r="J13" s="64"/>
      <c r="K13" s="185" t="str">
        <f t="shared" si="2"/>
        <v/>
      </c>
      <c r="L13" s="64"/>
    </row>
    <row r="14" spans="1:12" x14ac:dyDescent="0.25">
      <c r="A14" s="64"/>
      <c r="B14" s="64"/>
      <c r="C14" s="64"/>
      <c r="D14" s="65"/>
      <c r="E14" s="66"/>
      <c r="F14" s="64"/>
      <c r="G14" s="69" t="str">
        <f t="shared" si="0"/>
        <v/>
      </c>
      <c r="H14" s="69" t="str">
        <f t="shared" ca="1" si="1"/>
        <v/>
      </c>
      <c r="I14" s="65"/>
      <c r="J14" s="64"/>
      <c r="K14" s="185" t="str">
        <f t="shared" si="2"/>
        <v/>
      </c>
      <c r="L14" s="64"/>
    </row>
    <row r="15" spans="1:12" x14ac:dyDescent="0.25">
      <c r="A15" s="64"/>
      <c r="B15" s="64"/>
      <c r="C15" s="64"/>
      <c r="D15" s="65"/>
      <c r="E15" s="66"/>
      <c r="F15" s="64"/>
      <c r="G15" s="69" t="str">
        <f t="shared" si="0"/>
        <v/>
      </c>
      <c r="H15" s="69" t="str">
        <f t="shared" ca="1" si="1"/>
        <v/>
      </c>
      <c r="I15" s="65"/>
      <c r="J15" s="64"/>
      <c r="K15" s="185" t="str">
        <f t="shared" si="2"/>
        <v/>
      </c>
      <c r="L15" s="64"/>
    </row>
    <row r="16" spans="1:12" x14ac:dyDescent="0.25">
      <c r="A16" s="64"/>
      <c r="B16" s="64"/>
      <c r="C16" s="64"/>
      <c r="D16" s="65"/>
      <c r="E16" s="66"/>
      <c r="F16" s="64"/>
      <c r="G16" s="69" t="str">
        <f t="shared" si="0"/>
        <v/>
      </c>
      <c r="H16" s="69" t="str">
        <f t="shared" ca="1" si="1"/>
        <v/>
      </c>
      <c r="I16" s="65"/>
      <c r="J16" s="64"/>
      <c r="K16" s="185" t="str">
        <f t="shared" si="2"/>
        <v/>
      </c>
      <c r="L16" s="64"/>
    </row>
    <row r="17" spans="1:12" x14ac:dyDescent="0.25">
      <c r="A17" s="64"/>
      <c r="B17" s="64"/>
      <c r="C17" s="64"/>
      <c r="D17" s="65"/>
      <c r="E17" s="66"/>
      <c r="F17" s="64"/>
      <c r="G17" s="69" t="str">
        <f t="shared" si="0"/>
        <v/>
      </c>
      <c r="H17" s="69" t="str">
        <f t="shared" ca="1" si="1"/>
        <v/>
      </c>
      <c r="I17" s="65"/>
      <c r="J17" s="64"/>
      <c r="K17" s="185" t="str">
        <f t="shared" si="2"/>
        <v/>
      </c>
      <c r="L17" s="64"/>
    </row>
    <row r="18" spans="1:12" x14ac:dyDescent="0.25">
      <c r="A18" s="64"/>
      <c r="B18" s="64"/>
      <c r="C18" s="64"/>
      <c r="D18" s="65"/>
      <c r="E18" s="66"/>
      <c r="F18" s="64"/>
      <c r="G18" s="69" t="str">
        <f t="shared" si="0"/>
        <v/>
      </c>
      <c r="H18" s="69" t="str">
        <f t="shared" ca="1" si="1"/>
        <v/>
      </c>
      <c r="I18" s="65"/>
      <c r="J18" s="64"/>
      <c r="K18" s="185" t="str">
        <f t="shared" si="2"/>
        <v/>
      </c>
      <c r="L18" s="64"/>
    </row>
    <row r="19" spans="1:12" x14ac:dyDescent="0.25">
      <c r="A19" s="64"/>
      <c r="B19" s="64"/>
      <c r="C19" s="64"/>
      <c r="D19" s="65"/>
      <c r="E19" s="66"/>
      <c r="F19" s="64"/>
      <c r="G19" s="69" t="str">
        <f t="shared" si="0"/>
        <v/>
      </c>
      <c r="H19" s="69" t="str">
        <f t="shared" ca="1" si="1"/>
        <v/>
      </c>
      <c r="I19" s="65"/>
      <c r="J19" s="64"/>
      <c r="K19" s="185" t="str">
        <f t="shared" si="2"/>
        <v/>
      </c>
      <c r="L19" s="64"/>
    </row>
    <row r="20" spans="1:12" x14ac:dyDescent="0.25">
      <c r="A20" s="64"/>
      <c r="B20" s="64"/>
      <c r="C20" s="64"/>
      <c r="D20" s="65"/>
      <c r="E20" s="66"/>
      <c r="F20" s="64"/>
      <c r="G20" s="69" t="str">
        <f t="shared" si="0"/>
        <v/>
      </c>
      <c r="H20" s="69" t="str">
        <f t="shared" ca="1" si="1"/>
        <v/>
      </c>
      <c r="I20" s="65"/>
      <c r="J20" s="64"/>
      <c r="K20" s="185" t="str">
        <f t="shared" si="2"/>
        <v/>
      </c>
      <c r="L20" s="64"/>
    </row>
    <row r="21" spans="1:12" x14ac:dyDescent="0.25">
      <c r="A21" s="64"/>
      <c r="B21" s="64"/>
      <c r="C21" s="64"/>
      <c r="D21" s="65"/>
      <c r="E21" s="66"/>
      <c r="F21" s="64"/>
      <c r="G21" s="69" t="str">
        <f t="shared" si="0"/>
        <v/>
      </c>
      <c r="H21" s="69" t="str">
        <f t="shared" ca="1" si="1"/>
        <v/>
      </c>
      <c r="I21" s="65"/>
      <c r="J21" s="64"/>
      <c r="K21" s="185" t="str">
        <f t="shared" si="2"/>
        <v/>
      </c>
      <c r="L21" s="64"/>
    </row>
    <row r="22" spans="1:12" x14ac:dyDescent="0.25">
      <c r="A22" s="64"/>
      <c r="B22" s="64"/>
      <c r="C22" s="64"/>
      <c r="D22" s="65"/>
      <c r="E22" s="66"/>
      <c r="F22" s="64"/>
      <c r="G22" s="69" t="str">
        <f t="shared" si="0"/>
        <v/>
      </c>
      <c r="H22" s="69" t="str">
        <f t="shared" ca="1" si="1"/>
        <v/>
      </c>
      <c r="I22" s="65"/>
      <c r="J22" s="64"/>
      <c r="K22" s="185" t="str">
        <f t="shared" si="2"/>
        <v/>
      </c>
      <c r="L22" s="64"/>
    </row>
    <row r="23" spans="1:12" x14ac:dyDescent="0.25">
      <c r="A23" s="159" t="s">
        <v>794</v>
      </c>
      <c r="B23" s="61"/>
      <c r="C23" s="61"/>
      <c r="D23" s="61"/>
      <c r="E23" s="70">
        <f>SUM(E3:E22)</f>
        <v>194500</v>
      </c>
      <c r="F23" s="61"/>
      <c r="G23" s="70">
        <f>SUM(G3:G22)</f>
        <v>20841.666666666664</v>
      </c>
      <c r="H23" s="160">
        <f ca="1">SUM(H3:H22)</f>
        <v>111060.0684931507</v>
      </c>
      <c r="I23" s="61"/>
      <c r="J23" s="61"/>
      <c r="K23" s="61"/>
      <c r="L23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K3:K22">
    <cfRule type="expression" dxfId="13" priority="2">
      <formula>AND(K3&lt;&gt;"",K3&lt;TODAY())</formula>
    </cfRule>
    <cfRule type="expression" dxfId="12" priority="3">
      <formula>AND(K3&lt;&gt;"",K3-TODAY()&gt;=0,K3-TODAY()&lt;30)</formula>
    </cfRule>
  </conditionalFormatting>
  <conditionalFormatting sqref="L3:L22">
    <cfRule type="cellIs" dxfId="11" priority="4" operator="equal">
      <formula>"Poor"</formula>
    </cfRule>
    <cfRule type="cellIs" dxfId="10" priority="5" operator="equal">
      <formula>"Fair"</formula>
    </cfRule>
    <cfRule type="cellIs" dxfId="9" priority="6" operator="equal">
      <formula>"Excellent"</formula>
    </cfRule>
  </conditionalFormatting>
  <dataValidations count="1">
    <dataValidation type="list" allowBlank="1" sqref="L3:L22" xr:uid="{00000000-0002-0000-1D00-000000000000}">
      <formula1>"Excellent,Good,Fair,Poor,Retired"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A1:K5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28" customWidth="1"/>
    <col min="3" max="3" width="14" customWidth="1"/>
    <col min="4" max="5" width="12" customWidth="1"/>
    <col min="6" max="10" width="14" customWidth="1"/>
    <col min="11" max="11" width="22" customWidth="1"/>
  </cols>
  <sheetData>
    <row r="1" spans="1:11" ht="18" x14ac:dyDescent="0.25">
      <c r="A1" s="60" t="s">
        <v>1288</v>
      </c>
      <c r="B1" s="61"/>
      <c r="C1" s="61"/>
      <c r="D1" s="61"/>
      <c r="E1" s="61"/>
      <c r="F1" s="61"/>
      <c r="G1" s="62" t="s">
        <v>1289</v>
      </c>
      <c r="H1" s="69">
        <f>SUM(H3:H502)</f>
        <v>2650.4999999999995</v>
      </c>
      <c r="I1" s="62" t="s">
        <v>1290</v>
      </c>
      <c r="J1" s="175">
        <f>COUNTIF(I3:I502,"Reorder")+COUNTIF(I3:I502,"Critical")</f>
        <v>6</v>
      </c>
      <c r="K1" s="61"/>
    </row>
    <row r="2" spans="1:11" ht="27.75" customHeight="1" x14ac:dyDescent="0.25">
      <c r="A2" s="63" t="s">
        <v>1291</v>
      </c>
      <c r="B2" s="63" t="s">
        <v>1292</v>
      </c>
      <c r="C2" s="63" t="s">
        <v>334</v>
      </c>
      <c r="D2" s="63" t="s">
        <v>1293</v>
      </c>
      <c r="E2" s="63" t="s">
        <v>1294</v>
      </c>
      <c r="F2" s="63" t="s">
        <v>1295</v>
      </c>
      <c r="G2" s="63" t="s">
        <v>1296</v>
      </c>
      <c r="H2" s="63" t="s">
        <v>1297</v>
      </c>
      <c r="I2" s="63" t="s">
        <v>23</v>
      </c>
      <c r="J2" s="63" t="s">
        <v>1298</v>
      </c>
      <c r="K2" s="63" t="s">
        <v>1299</v>
      </c>
    </row>
    <row r="3" spans="1:11" x14ac:dyDescent="0.25">
      <c r="A3" s="64" t="s">
        <v>403</v>
      </c>
      <c r="B3" s="64" t="s">
        <v>1300</v>
      </c>
      <c r="C3" s="64" t="s">
        <v>1301</v>
      </c>
      <c r="D3" s="64" t="s">
        <v>1302</v>
      </c>
      <c r="E3" s="64">
        <v>240</v>
      </c>
      <c r="F3" s="64">
        <v>50</v>
      </c>
      <c r="G3" s="66">
        <v>0.45</v>
      </c>
      <c r="H3" s="69">
        <f t="shared" ref="H3:H66" si="0">IFERROR(IF(OR(E3="",G3=""),"",E3*G3),"")</f>
        <v>108</v>
      </c>
      <c r="I3" s="175" t="str">
        <f t="shared" ref="I3:I66" si="1">IF(A3="","",IF(E3="","",IF(E3&lt;=F3*0.5,"Critical",IF(E3&lt;=F3,"Reorder","OK"))))</f>
        <v>OK</v>
      </c>
      <c r="J3" s="65">
        <v>46091</v>
      </c>
      <c r="K3" s="64" t="s">
        <v>1303</v>
      </c>
    </row>
    <row r="4" spans="1:11" x14ac:dyDescent="0.25">
      <c r="A4" s="64" t="s">
        <v>409</v>
      </c>
      <c r="B4" s="64" t="s">
        <v>1304</v>
      </c>
      <c r="C4" s="64" t="s">
        <v>1301</v>
      </c>
      <c r="D4" s="64" t="s">
        <v>1302</v>
      </c>
      <c r="E4" s="64">
        <v>45</v>
      </c>
      <c r="F4" s="64">
        <v>50</v>
      </c>
      <c r="G4" s="66">
        <v>0.5</v>
      </c>
      <c r="H4" s="69">
        <f t="shared" si="0"/>
        <v>22.5</v>
      </c>
      <c r="I4" s="175" t="str">
        <f t="shared" si="1"/>
        <v>Reorder</v>
      </c>
      <c r="J4" s="65">
        <v>46073</v>
      </c>
      <c r="K4" s="64" t="s">
        <v>1303</v>
      </c>
    </row>
    <row r="5" spans="1:11" x14ac:dyDescent="0.25">
      <c r="A5" s="64" t="s">
        <v>414</v>
      </c>
      <c r="B5" s="64" t="s">
        <v>1305</v>
      </c>
      <c r="C5" s="64" t="s">
        <v>1306</v>
      </c>
      <c r="D5" s="64" t="s">
        <v>1302</v>
      </c>
      <c r="E5" s="64">
        <v>8</v>
      </c>
      <c r="F5" s="64">
        <v>5</v>
      </c>
      <c r="G5" s="66">
        <v>28</v>
      </c>
      <c r="H5" s="69">
        <f t="shared" si="0"/>
        <v>224</v>
      </c>
      <c r="I5" s="175" t="str">
        <f t="shared" si="1"/>
        <v>OK</v>
      </c>
      <c r="J5" s="65">
        <v>46086</v>
      </c>
      <c r="K5" s="64" t="s">
        <v>1307</v>
      </c>
    </row>
    <row r="6" spans="1:11" x14ac:dyDescent="0.25">
      <c r="A6" s="64" t="s">
        <v>421</v>
      </c>
      <c r="B6" s="64" t="s">
        <v>1308</v>
      </c>
      <c r="C6" s="64" t="s">
        <v>1306</v>
      </c>
      <c r="D6" s="64" t="s">
        <v>1302</v>
      </c>
      <c r="E6" s="64">
        <v>3</v>
      </c>
      <c r="F6" s="64">
        <v>5</v>
      </c>
      <c r="G6" s="66">
        <v>32</v>
      </c>
      <c r="H6" s="69">
        <f t="shared" si="0"/>
        <v>96</v>
      </c>
      <c r="I6" s="175" t="str">
        <f t="shared" si="1"/>
        <v>Reorder</v>
      </c>
      <c r="J6" s="65">
        <v>46037</v>
      </c>
      <c r="K6" s="64" t="s">
        <v>1307</v>
      </c>
    </row>
    <row r="7" spans="1:11" x14ac:dyDescent="0.25">
      <c r="A7" s="64" t="s">
        <v>427</v>
      </c>
      <c r="B7" s="64" t="s">
        <v>1309</v>
      </c>
      <c r="C7" s="64" t="s">
        <v>1310</v>
      </c>
      <c r="D7" s="64" t="s">
        <v>1302</v>
      </c>
      <c r="E7" s="64">
        <v>22</v>
      </c>
      <c r="F7" s="64">
        <v>10</v>
      </c>
      <c r="G7" s="66">
        <v>1.2</v>
      </c>
      <c r="H7" s="69">
        <f t="shared" si="0"/>
        <v>26.4</v>
      </c>
      <c r="I7" s="175" t="str">
        <f t="shared" si="1"/>
        <v>OK</v>
      </c>
      <c r="J7" s="65">
        <v>46063</v>
      </c>
      <c r="K7" s="64" t="s">
        <v>1307</v>
      </c>
    </row>
    <row r="8" spans="1:11" x14ac:dyDescent="0.25">
      <c r="A8" s="64" t="s">
        <v>431</v>
      </c>
      <c r="B8" s="64" t="s">
        <v>1311</v>
      </c>
      <c r="C8" s="64" t="s">
        <v>1312</v>
      </c>
      <c r="D8" s="64" t="s">
        <v>1313</v>
      </c>
      <c r="E8" s="64">
        <v>14</v>
      </c>
      <c r="F8" s="64">
        <v>4</v>
      </c>
      <c r="G8" s="66">
        <v>12.5</v>
      </c>
      <c r="H8" s="69">
        <f t="shared" si="0"/>
        <v>175</v>
      </c>
      <c r="I8" s="175" t="str">
        <f t="shared" si="1"/>
        <v>OK</v>
      </c>
      <c r="J8" s="65">
        <v>46099</v>
      </c>
      <c r="K8" s="64" t="s">
        <v>1303</v>
      </c>
    </row>
    <row r="9" spans="1:11" x14ac:dyDescent="0.25">
      <c r="A9" s="64" t="s">
        <v>436</v>
      </c>
      <c r="B9" s="64" t="s">
        <v>1314</v>
      </c>
      <c r="C9" s="64" t="s">
        <v>1312</v>
      </c>
      <c r="D9" s="64" t="s">
        <v>1313</v>
      </c>
      <c r="E9" s="64">
        <v>6</v>
      </c>
      <c r="F9" s="64">
        <v>3</v>
      </c>
      <c r="G9" s="66">
        <v>8.9</v>
      </c>
      <c r="H9" s="69">
        <f t="shared" si="0"/>
        <v>53.400000000000006</v>
      </c>
      <c r="I9" s="175" t="str">
        <f t="shared" si="1"/>
        <v>OK</v>
      </c>
      <c r="J9" s="65">
        <v>46096</v>
      </c>
      <c r="K9" s="64" t="s">
        <v>1303</v>
      </c>
    </row>
    <row r="10" spans="1:11" x14ac:dyDescent="0.25">
      <c r="A10" s="64" t="s">
        <v>441</v>
      </c>
      <c r="B10" s="64" t="s">
        <v>1315</v>
      </c>
      <c r="C10" s="64" t="s">
        <v>1316</v>
      </c>
      <c r="D10" s="64" t="s">
        <v>502</v>
      </c>
      <c r="E10" s="64">
        <v>12</v>
      </c>
      <c r="F10" s="64">
        <v>10</v>
      </c>
      <c r="G10" s="66">
        <v>14</v>
      </c>
      <c r="H10" s="69">
        <f t="shared" si="0"/>
        <v>168</v>
      </c>
      <c r="I10" s="175" t="str">
        <f t="shared" si="1"/>
        <v>OK</v>
      </c>
      <c r="J10" s="65">
        <v>46109</v>
      </c>
      <c r="K10" s="64" t="s">
        <v>1317</v>
      </c>
    </row>
    <row r="11" spans="1:11" x14ac:dyDescent="0.25">
      <c r="A11" s="64" t="s">
        <v>445</v>
      </c>
      <c r="B11" s="64" t="s">
        <v>1318</v>
      </c>
      <c r="C11" s="64" t="s">
        <v>1319</v>
      </c>
      <c r="D11" s="64" t="s">
        <v>511</v>
      </c>
      <c r="E11" s="64">
        <v>4</v>
      </c>
      <c r="F11" s="64">
        <v>3</v>
      </c>
      <c r="G11" s="66">
        <v>68</v>
      </c>
      <c r="H11" s="69">
        <f t="shared" si="0"/>
        <v>272</v>
      </c>
      <c r="I11" s="175" t="str">
        <f t="shared" si="1"/>
        <v>OK</v>
      </c>
      <c r="J11" s="65">
        <v>46093</v>
      </c>
      <c r="K11" s="64" t="s">
        <v>1320</v>
      </c>
    </row>
    <row r="12" spans="1:11" x14ac:dyDescent="0.25">
      <c r="A12" s="64" t="s">
        <v>449</v>
      </c>
      <c r="B12" s="64" t="s">
        <v>1321</v>
      </c>
      <c r="C12" s="64" t="s">
        <v>1319</v>
      </c>
      <c r="D12" s="64" t="s">
        <v>511</v>
      </c>
      <c r="E12" s="64">
        <v>1</v>
      </c>
      <c r="F12" s="64">
        <v>3</v>
      </c>
      <c r="G12" s="66">
        <v>72</v>
      </c>
      <c r="H12" s="69">
        <f t="shared" si="0"/>
        <v>72</v>
      </c>
      <c r="I12" s="175" t="str">
        <f t="shared" si="1"/>
        <v>Critical</v>
      </c>
      <c r="J12" s="65">
        <v>46058</v>
      </c>
      <c r="K12" s="64" t="s">
        <v>1320</v>
      </c>
    </row>
    <row r="13" spans="1:11" x14ac:dyDescent="0.25">
      <c r="A13" s="64" t="s">
        <v>454</v>
      </c>
      <c r="B13" s="64" t="s">
        <v>1322</v>
      </c>
      <c r="C13" s="64" t="s">
        <v>1323</v>
      </c>
      <c r="D13" s="64" t="s">
        <v>1302</v>
      </c>
      <c r="E13" s="64">
        <v>8</v>
      </c>
      <c r="F13" s="64">
        <v>10</v>
      </c>
      <c r="G13" s="66">
        <v>4.8</v>
      </c>
      <c r="H13" s="69">
        <f t="shared" si="0"/>
        <v>38.4</v>
      </c>
      <c r="I13" s="175" t="str">
        <f t="shared" si="1"/>
        <v>Reorder</v>
      </c>
      <c r="J13" s="65">
        <v>46081</v>
      </c>
      <c r="K13" s="64" t="s">
        <v>1317</v>
      </c>
    </row>
    <row r="14" spans="1:11" x14ac:dyDescent="0.25">
      <c r="A14" s="64" t="s">
        <v>456</v>
      </c>
      <c r="B14" s="64" t="s">
        <v>1324</v>
      </c>
      <c r="C14" s="64" t="s">
        <v>1325</v>
      </c>
      <c r="D14" s="64" t="s">
        <v>502</v>
      </c>
      <c r="E14" s="64">
        <v>25</v>
      </c>
      <c r="F14" s="64">
        <v>15</v>
      </c>
      <c r="G14" s="66">
        <v>18</v>
      </c>
      <c r="H14" s="69">
        <f t="shared" si="0"/>
        <v>450</v>
      </c>
      <c r="I14" s="175" t="str">
        <f t="shared" si="1"/>
        <v>OK</v>
      </c>
      <c r="J14" s="65">
        <v>46101</v>
      </c>
      <c r="K14" s="64" t="s">
        <v>1317</v>
      </c>
    </row>
    <row r="15" spans="1:11" x14ac:dyDescent="0.25">
      <c r="A15" s="64" t="s">
        <v>1326</v>
      </c>
      <c r="B15" s="64" t="s">
        <v>1327</v>
      </c>
      <c r="C15" s="64" t="s">
        <v>475</v>
      </c>
      <c r="D15" s="64" t="s">
        <v>502</v>
      </c>
      <c r="E15" s="64">
        <v>18</v>
      </c>
      <c r="F15" s="64">
        <v>15</v>
      </c>
      <c r="G15" s="66">
        <v>32</v>
      </c>
      <c r="H15" s="69">
        <f t="shared" si="0"/>
        <v>576</v>
      </c>
      <c r="I15" s="175" t="str">
        <f t="shared" si="1"/>
        <v>OK</v>
      </c>
      <c r="J15" s="65">
        <v>46103</v>
      </c>
      <c r="K15" s="64" t="s">
        <v>1317</v>
      </c>
    </row>
    <row r="16" spans="1:11" x14ac:dyDescent="0.25">
      <c r="A16" s="64" t="s">
        <v>1328</v>
      </c>
      <c r="B16" s="64" t="s">
        <v>1329</v>
      </c>
      <c r="C16" s="64" t="s">
        <v>1330</v>
      </c>
      <c r="D16" s="64" t="s">
        <v>1302</v>
      </c>
      <c r="E16" s="64">
        <v>12</v>
      </c>
      <c r="F16" s="64">
        <v>10</v>
      </c>
      <c r="G16" s="66">
        <v>6.5</v>
      </c>
      <c r="H16" s="69">
        <f t="shared" si="0"/>
        <v>78</v>
      </c>
      <c r="I16" s="175" t="str">
        <f t="shared" si="1"/>
        <v>OK</v>
      </c>
      <c r="J16" s="65">
        <v>46032</v>
      </c>
      <c r="K16" s="64" t="s">
        <v>1331</v>
      </c>
    </row>
    <row r="17" spans="1:11" x14ac:dyDescent="0.25">
      <c r="A17" s="64" t="s">
        <v>1332</v>
      </c>
      <c r="B17" s="64" t="s">
        <v>1333</v>
      </c>
      <c r="C17" s="64" t="s">
        <v>1330</v>
      </c>
      <c r="D17" s="64" t="s">
        <v>1313</v>
      </c>
      <c r="E17" s="64">
        <v>6</v>
      </c>
      <c r="F17" s="64">
        <v>5</v>
      </c>
      <c r="G17" s="66">
        <v>18</v>
      </c>
      <c r="H17" s="69">
        <f t="shared" si="0"/>
        <v>108</v>
      </c>
      <c r="I17" s="175" t="str">
        <f t="shared" si="1"/>
        <v>OK</v>
      </c>
      <c r="J17" s="65">
        <v>46068</v>
      </c>
      <c r="K17" s="64" t="s">
        <v>1331</v>
      </c>
    </row>
    <row r="18" spans="1:11" x14ac:dyDescent="0.25">
      <c r="A18" s="64" t="s">
        <v>1334</v>
      </c>
      <c r="B18" s="64" t="s">
        <v>1335</v>
      </c>
      <c r="C18" s="64" t="s">
        <v>1330</v>
      </c>
      <c r="D18" s="64" t="s">
        <v>1302</v>
      </c>
      <c r="E18" s="64">
        <v>24</v>
      </c>
      <c r="F18" s="64">
        <v>20</v>
      </c>
      <c r="G18" s="66">
        <v>2.8</v>
      </c>
      <c r="H18" s="69">
        <f t="shared" si="0"/>
        <v>67.199999999999989</v>
      </c>
      <c r="I18" s="175" t="str">
        <f t="shared" si="1"/>
        <v>OK</v>
      </c>
      <c r="J18" s="65">
        <v>46047</v>
      </c>
      <c r="K18" s="64" t="s">
        <v>1331</v>
      </c>
    </row>
    <row r="19" spans="1:11" x14ac:dyDescent="0.25">
      <c r="A19" s="64" t="s">
        <v>1336</v>
      </c>
      <c r="B19" s="64" t="s">
        <v>1337</v>
      </c>
      <c r="C19" s="64" t="s">
        <v>1338</v>
      </c>
      <c r="D19" s="64" t="s">
        <v>1302</v>
      </c>
      <c r="E19" s="64">
        <v>2</v>
      </c>
      <c r="F19" s="64">
        <v>2</v>
      </c>
      <c r="G19" s="66">
        <v>45</v>
      </c>
      <c r="H19" s="69">
        <f t="shared" si="0"/>
        <v>90</v>
      </c>
      <c r="I19" s="175" t="str">
        <f t="shared" si="1"/>
        <v>Reorder</v>
      </c>
      <c r="J19" s="65">
        <v>46027</v>
      </c>
      <c r="K19" s="64" t="s">
        <v>1307</v>
      </c>
    </row>
    <row r="20" spans="1:11" x14ac:dyDescent="0.25">
      <c r="A20" s="64" t="s">
        <v>1339</v>
      </c>
      <c r="B20" s="64" t="s">
        <v>1340</v>
      </c>
      <c r="C20" s="64" t="s">
        <v>1301</v>
      </c>
      <c r="D20" s="64" t="s">
        <v>1302</v>
      </c>
      <c r="E20" s="64">
        <v>8</v>
      </c>
      <c r="F20" s="64">
        <v>10</v>
      </c>
      <c r="G20" s="66">
        <v>3.2</v>
      </c>
      <c r="H20" s="69">
        <f t="shared" si="0"/>
        <v>25.6</v>
      </c>
      <c r="I20" s="175" t="str">
        <f t="shared" si="1"/>
        <v>Reorder</v>
      </c>
      <c r="J20" s="65">
        <v>46065</v>
      </c>
      <c r="K20" s="64" t="s">
        <v>1303</v>
      </c>
    </row>
    <row r="21" spans="1:11" x14ac:dyDescent="0.25">
      <c r="A21" s="64"/>
      <c r="B21" s="64"/>
      <c r="C21" s="64"/>
      <c r="D21" s="64"/>
      <c r="E21" s="64"/>
      <c r="F21" s="64"/>
      <c r="G21" s="66"/>
      <c r="H21" s="69" t="str">
        <f t="shared" si="0"/>
        <v/>
      </c>
      <c r="I21" s="175" t="str">
        <f t="shared" si="1"/>
        <v/>
      </c>
      <c r="J21" s="65"/>
      <c r="K21" s="64"/>
    </row>
    <row r="22" spans="1:11" x14ac:dyDescent="0.25">
      <c r="A22" s="64"/>
      <c r="B22" s="64"/>
      <c r="C22" s="64"/>
      <c r="D22" s="64"/>
      <c r="E22" s="64"/>
      <c r="F22" s="64"/>
      <c r="G22" s="66"/>
      <c r="H22" s="69" t="str">
        <f t="shared" si="0"/>
        <v/>
      </c>
      <c r="I22" s="175" t="str">
        <f t="shared" si="1"/>
        <v/>
      </c>
      <c r="J22" s="65"/>
      <c r="K22" s="64"/>
    </row>
    <row r="23" spans="1:11" x14ac:dyDescent="0.25">
      <c r="A23" s="64"/>
      <c r="B23" s="64"/>
      <c r="C23" s="64"/>
      <c r="D23" s="64"/>
      <c r="E23" s="64"/>
      <c r="F23" s="64"/>
      <c r="G23" s="66"/>
      <c r="H23" s="69" t="str">
        <f t="shared" si="0"/>
        <v/>
      </c>
      <c r="I23" s="175" t="str">
        <f t="shared" si="1"/>
        <v/>
      </c>
      <c r="J23" s="65"/>
      <c r="K23" s="64"/>
    </row>
    <row r="24" spans="1:11" x14ac:dyDescent="0.25">
      <c r="A24" s="64"/>
      <c r="B24" s="64"/>
      <c r="C24" s="64"/>
      <c r="D24" s="64"/>
      <c r="E24" s="64"/>
      <c r="F24" s="64"/>
      <c r="G24" s="66"/>
      <c r="H24" s="69" t="str">
        <f t="shared" si="0"/>
        <v/>
      </c>
      <c r="I24" s="175" t="str">
        <f t="shared" si="1"/>
        <v/>
      </c>
      <c r="J24" s="65"/>
      <c r="K24" s="64"/>
    </row>
    <row r="25" spans="1:11" x14ac:dyDescent="0.25">
      <c r="A25" s="64"/>
      <c r="B25" s="64"/>
      <c r="C25" s="64"/>
      <c r="D25" s="64"/>
      <c r="E25" s="64"/>
      <c r="F25" s="64"/>
      <c r="G25" s="66"/>
      <c r="H25" s="69" t="str">
        <f t="shared" si="0"/>
        <v/>
      </c>
      <c r="I25" s="175" t="str">
        <f t="shared" si="1"/>
        <v/>
      </c>
      <c r="J25" s="65"/>
      <c r="K25" s="64"/>
    </row>
    <row r="26" spans="1:11" x14ac:dyDescent="0.25">
      <c r="A26" s="64"/>
      <c r="B26" s="64"/>
      <c r="C26" s="64"/>
      <c r="D26" s="64"/>
      <c r="E26" s="64"/>
      <c r="F26" s="64"/>
      <c r="G26" s="66"/>
      <c r="H26" s="69" t="str">
        <f t="shared" si="0"/>
        <v/>
      </c>
      <c r="I26" s="175" t="str">
        <f t="shared" si="1"/>
        <v/>
      </c>
      <c r="J26" s="65"/>
      <c r="K26" s="64"/>
    </row>
    <row r="27" spans="1:11" x14ac:dyDescent="0.25">
      <c r="A27" s="64"/>
      <c r="B27" s="64"/>
      <c r="C27" s="64"/>
      <c r="D27" s="64"/>
      <c r="E27" s="64"/>
      <c r="F27" s="64"/>
      <c r="G27" s="66"/>
      <c r="H27" s="69" t="str">
        <f t="shared" si="0"/>
        <v/>
      </c>
      <c r="I27" s="175" t="str">
        <f t="shared" si="1"/>
        <v/>
      </c>
      <c r="J27" s="65"/>
      <c r="K27" s="64"/>
    </row>
    <row r="28" spans="1:11" x14ac:dyDescent="0.25">
      <c r="A28" s="64"/>
      <c r="B28" s="64"/>
      <c r="C28" s="64"/>
      <c r="D28" s="64"/>
      <c r="E28" s="64"/>
      <c r="F28" s="64"/>
      <c r="G28" s="66"/>
      <c r="H28" s="69" t="str">
        <f t="shared" si="0"/>
        <v/>
      </c>
      <c r="I28" s="175" t="str">
        <f t="shared" si="1"/>
        <v/>
      </c>
      <c r="J28" s="65"/>
      <c r="K28" s="64"/>
    </row>
    <row r="29" spans="1:11" x14ac:dyDescent="0.25">
      <c r="A29" s="64"/>
      <c r="B29" s="64"/>
      <c r="C29" s="64"/>
      <c r="D29" s="64"/>
      <c r="E29" s="64"/>
      <c r="F29" s="64"/>
      <c r="G29" s="66"/>
      <c r="H29" s="69" t="str">
        <f t="shared" si="0"/>
        <v/>
      </c>
      <c r="I29" s="175" t="str">
        <f t="shared" si="1"/>
        <v/>
      </c>
      <c r="J29" s="65"/>
      <c r="K29" s="64"/>
    </row>
    <row r="30" spans="1:11" x14ac:dyDescent="0.25">
      <c r="A30" s="64"/>
      <c r="B30" s="64"/>
      <c r="C30" s="64"/>
      <c r="D30" s="64"/>
      <c r="E30" s="64"/>
      <c r="F30" s="64"/>
      <c r="G30" s="66"/>
      <c r="H30" s="69" t="str">
        <f t="shared" si="0"/>
        <v/>
      </c>
      <c r="I30" s="175" t="str">
        <f t="shared" si="1"/>
        <v/>
      </c>
      <c r="J30" s="65"/>
      <c r="K30" s="64"/>
    </row>
    <row r="31" spans="1:11" x14ac:dyDescent="0.25">
      <c r="A31" s="64"/>
      <c r="B31" s="64"/>
      <c r="C31" s="64"/>
      <c r="D31" s="64"/>
      <c r="E31" s="64"/>
      <c r="F31" s="64"/>
      <c r="G31" s="66"/>
      <c r="H31" s="69" t="str">
        <f t="shared" si="0"/>
        <v/>
      </c>
      <c r="I31" s="175" t="str">
        <f t="shared" si="1"/>
        <v/>
      </c>
      <c r="J31" s="65"/>
      <c r="K31" s="64"/>
    </row>
    <row r="32" spans="1:11" x14ac:dyDescent="0.25">
      <c r="A32" s="64"/>
      <c r="B32" s="64"/>
      <c r="C32" s="64"/>
      <c r="D32" s="64"/>
      <c r="E32" s="64"/>
      <c r="F32" s="64"/>
      <c r="G32" s="66"/>
      <c r="H32" s="69" t="str">
        <f t="shared" si="0"/>
        <v/>
      </c>
      <c r="I32" s="175" t="str">
        <f t="shared" si="1"/>
        <v/>
      </c>
      <c r="J32" s="65"/>
      <c r="K32" s="64"/>
    </row>
    <row r="33" spans="1:11" x14ac:dyDescent="0.25">
      <c r="A33" s="64"/>
      <c r="B33" s="64"/>
      <c r="C33" s="64"/>
      <c r="D33" s="64"/>
      <c r="E33" s="64"/>
      <c r="F33" s="64"/>
      <c r="G33" s="66"/>
      <c r="H33" s="69" t="str">
        <f t="shared" si="0"/>
        <v/>
      </c>
      <c r="I33" s="175" t="str">
        <f t="shared" si="1"/>
        <v/>
      </c>
      <c r="J33" s="65"/>
      <c r="K33" s="64"/>
    </row>
    <row r="34" spans="1:11" x14ac:dyDescent="0.25">
      <c r="A34" s="64"/>
      <c r="B34" s="64"/>
      <c r="C34" s="64"/>
      <c r="D34" s="64"/>
      <c r="E34" s="64"/>
      <c r="F34" s="64"/>
      <c r="G34" s="66"/>
      <c r="H34" s="69" t="str">
        <f t="shared" si="0"/>
        <v/>
      </c>
      <c r="I34" s="175" t="str">
        <f t="shared" si="1"/>
        <v/>
      </c>
      <c r="J34" s="65"/>
      <c r="K34" s="64"/>
    </row>
    <row r="35" spans="1:11" x14ac:dyDescent="0.25">
      <c r="A35" s="64"/>
      <c r="B35" s="64"/>
      <c r="C35" s="64"/>
      <c r="D35" s="64"/>
      <c r="E35" s="64"/>
      <c r="F35" s="64"/>
      <c r="G35" s="66"/>
      <c r="H35" s="69" t="str">
        <f t="shared" si="0"/>
        <v/>
      </c>
      <c r="I35" s="175" t="str">
        <f t="shared" si="1"/>
        <v/>
      </c>
      <c r="J35" s="65"/>
      <c r="K35" s="64"/>
    </row>
    <row r="36" spans="1:11" x14ac:dyDescent="0.25">
      <c r="A36" s="64"/>
      <c r="B36" s="64"/>
      <c r="C36" s="64"/>
      <c r="D36" s="64"/>
      <c r="E36" s="64"/>
      <c r="F36" s="64"/>
      <c r="G36" s="66"/>
      <c r="H36" s="69" t="str">
        <f t="shared" si="0"/>
        <v/>
      </c>
      <c r="I36" s="175" t="str">
        <f t="shared" si="1"/>
        <v/>
      </c>
      <c r="J36" s="65"/>
      <c r="K36" s="64"/>
    </row>
    <row r="37" spans="1:11" x14ac:dyDescent="0.25">
      <c r="A37" s="64"/>
      <c r="B37" s="64"/>
      <c r="C37" s="64"/>
      <c r="D37" s="64"/>
      <c r="E37" s="64"/>
      <c r="F37" s="64"/>
      <c r="G37" s="66"/>
      <c r="H37" s="69" t="str">
        <f t="shared" si="0"/>
        <v/>
      </c>
      <c r="I37" s="175" t="str">
        <f t="shared" si="1"/>
        <v/>
      </c>
      <c r="J37" s="65"/>
      <c r="K37" s="64"/>
    </row>
    <row r="38" spans="1:11" x14ac:dyDescent="0.25">
      <c r="A38" s="64"/>
      <c r="B38" s="64"/>
      <c r="C38" s="64"/>
      <c r="D38" s="64"/>
      <c r="E38" s="64"/>
      <c r="F38" s="64"/>
      <c r="G38" s="66"/>
      <c r="H38" s="69" t="str">
        <f t="shared" si="0"/>
        <v/>
      </c>
      <c r="I38" s="175" t="str">
        <f t="shared" si="1"/>
        <v/>
      </c>
      <c r="J38" s="65"/>
      <c r="K38" s="64"/>
    </row>
    <row r="39" spans="1:11" x14ac:dyDescent="0.25">
      <c r="A39" s="64"/>
      <c r="B39" s="64"/>
      <c r="C39" s="64"/>
      <c r="D39" s="64"/>
      <c r="E39" s="64"/>
      <c r="F39" s="64"/>
      <c r="G39" s="66"/>
      <c r="H39" s="69" t="str">
        <f t="shared" si="0"/>
        <v/>
      </c>
      <c r="I39" s="175" t="str">
        <f t="shared" si="1"/>
        <v/>
      </c>
      <c r="J39" s="65"/>
      <c r="K39" s="64"/>
    </row>
    <row r="40" spans="1:11" x14ac:dyDescent="0.25">
      <c r="A40" s="64"/>
      <c r="B40" s="64"/>
      <c r="C40" s="64"/>
      <c r="D40" s="64"/>
      <c r="E40" s="64"/>
      <c r="F40" s="64"/>
      <c r="G40" s="66"/>
      <c r="H40" s="69" t="str">
        <f t="shared" si="0"/>
        <v/>
      </c>
      <c r="I40" s="175" t="str">
        <f t="shared" si="1"/>
        <v/>
      </c>
      <c r="J40" s="65"/>
      <c r="K40" s="64"/>
    </row>
    <row r="41" spans="1:11" x14ac:dyDescent="0.25">
      <c r="A41" s="64"/>
      <c r="B41" s="64"/>
      <c r="C41" s="64"/>
      <c r="D41" s="64"/>
      <c r="E41" s="64"/>
      <c r="F41" s="64"/>
      <c r="G41" s="66"/>
      <c r="H41" s="69" t="str">
        <f t="shared" si="0"/>
        <v/>
      </c>
      <c r="I41" s="175" t="str">
        <f t="shared" si="1"/>
        <v/>
      </c>
      <c r="J41" s="65"/>
      <c r="K41" s="64"/>
    </row>
    <row r="42" spans="1:11" x14ac:dyDescent="0.25">
      <c r="A42" s="64"/>
      <c r="B42" s="64"/>
      <c r="C42" s="64"/>
      <c r="D42" s="64"/>
      <c r="E42" s="64"/>
      <c r="F42" s="64"/>
      <c r="G42" s="66"/>
      <c r="H42" s="69" t="str">
        <f t="shared" si="0"/>
        <v/>
      </c>
      <c r="I42" s="175" t="str">
        <f t="shared" si="1"/>
        <v/>
      </c>
      <c r="J42" s="65"/>
      <c r="K42" s="64"/>
    </row>
    <row r="43" spans="1:11" x14ac:dyDescent="0.25">
      <c r="A43" s="64"/>
      <c r="B43" s="64"/>
      <c r="C43" s="64"/>
      <c r="D43" s="64"/>
      <c r="E43" s="64"/>
      <c r="F43" s="64"/>
      <c r="G43" s="66"/>
      <c r="H43" s="69" t="str">
        <f t="shared" si="0"/>
        <v/>
      </c>
      <c r="I43" s="175" t="str">
        <f t="shared" si="1"/>
        <v/>
      </c>
      <c r="J43" s="65"/>
      <c r="K43" s="64"/>
    </row>
    <row r="44" spans="1:11" x14ac:dyDescent="0.25">
      <c r="A44" s="64"/>
      <c r="B44" s="64"/>
      <c r="C44" s="64"/>
      <c r="D44" s="64"/>
      <c r="E44" s="64"/>
      <c r="F44" s="64"/>
      <c r="G44" s="66"/>
      <c r="H44" s="69" t="str">
        <f t="shared" si="0"/>
        <v/>
      </c>
      <c r="I44" s="175" t="str">
        <f t="shared" si="1"/>
        <v/>
      </c>
      <c r="J44" s="65"/>
      <c r="K44" s="64"/>
    </row>
    <row r="45" spans="1:11" x14ac:dyDescent="0.25">
      <c r="A45" s="64"/>
      <c r="B45" s="64"/>
      <c r="C45" s="64"/>
      <c r="D45" s="64"/>
      <c r="E45" s="64"/>
      <c r="F45" s="64"/>
      <c r="G45" s="66"/>
      <c r="H45" s="69" t="str">
        <f t="shared" si="0"/>
        <v/>
      </c>
      <c r="I45" s="175" t="str">
        <f t="shared" si="1"/>
        <v/>
      </c>
      <c r="J45" s="65"/>
      <c r="K45" s="64"/>
    </row>
    <row r="46" spans="1:11" x14ac:dyDescent="0.25">
      <c r="A46" s="64"/>
      <c r="B46" s="64"/>
      <c r="C46" s="64"/>
      <c r="D46" s="64"/>
      <c r="E46" s="64"/>
      <c r="F46" s="64"/>
      <c r="G46" s="66"/>
      <c r="H46" s="69" t="str">
        <f t="shared" si="0"/>
        <v/>
      </c>
      <c r="I46" s="175" t="str">
        <f t="shared" si="1"/>
        <v/>
      </c>
      <c r="J46" s="65"/>
      <c r="K46" s="64"/>
    </row>
    <row r="47" spans="1:11" x14ac:dyDescent="0.25">
      <c r="A47" s="64"/>
      <c r="B47" s="64"/>
      <c r="C47" s="64"/>
      <c r="D47" s="64"/>
      <c r="E47" s="64"/>
      <c r="F47" s="64"/>
      <c r="G47" s="66"/>
      <c r="H47" s="69" t="str">
        <f t="shared" si="0"/>
        <v/>
      </c>
      <c r="I47" s="175" t="str">
        <f t="shared" si="1"/>
        <v/>
      </c>
      <c r="J47" s="65"/>
      <c r="K47" s="64"/>
    </row>
    <row r="48" spans="1:11" x14ac:dyDescent="0.25">
      <c r="A48" s="64"/>
      <c r="B48" s="64"/>
      <c r="C48" s="64"/>
      <c r="D48" s="64"/>
      <c r="E48" s="64"/>
      <c r="F48" s="64"/>
      <c r="G48" s="66"/>
      <c r="H48" s="69" t="str">
        <f t="shared" si="0"/>
        <v/>
      </c>
      <c r="I48" s="175" t="str">
        <f t="shared" si="1"/>
        <v/>
      </c>
      <c r="J48" s="65"/>
      <c r="K48" s="64"/>
    </row>
    <row r="49" spans="1:11" x14ac:dyDescent="0.25">
      <c r="A49" s="64"/>
      <c r="B49" s="64"/>
      <c r="C49" s="64"/>
      <c r="D49" s="64"/>
      <c r="E49" s="64"/>
      <c r="F49" s="64"/>
      <c r="G49" s="66"/>
      <c r="H49" s="69" t="str">
        <f t="shared" si="0"/>
        <v/>
      </c>
      <c r="I49" s="175" t="str">
        <f t="shared" si="1"/>
        <v/>
      </c>
      <c r="J49" s="65"/>
      <c r="K49" s="64"/>
    </row>
    <row r="50" spans="1:11" x14ac:dyDescent="0.25">
      <c r="A50" s="64"/>
      <c r="B50" s="64"/>
      <c r="C50" s="64"/>
      <c r="D50" s="64"/>
      <c r="E50" s="64"/>
      <c r="F50" s="64"/>
      <c r="G50" s="66"/>
      <c r="H50" s="69" t="str">
        <f t="shared" si="0"/>
        <v/>
      </c>
      <c r="I50" s="175" t="str">
        <f t="shared" si="1"/>
        <v/>
      </c>
      <c r="J50" s="65"/>
      <c r="K50" s="64"/>
    </row>
    <row r="51" spans="1:11" x14ac:dyDescent="0.25">
      <c r="A51" s="64"/>
      <c r="B51" s="64"/>
      <c r="C51" s="64"/>
      <c r="D51" s="64"/>
      <c r="E51" s="64"/>
      <c r="F51" s="64"/>
      <c r="G51" s="66"/>
      <c r="H51" s="69" t="str">
        <f t="shared" si="0"/>
        <v/>
      </c>
      <c r="I51" s="175" t="str">
        <f t="shared" si="1"/>
        <v/>
      </c>
      <c r="J51" s="65"/>
      <c r="K51" s="64"/>
    </row>
    <row r="52" spans="1:11" x14ac:dyDescent="0.25">
      <c r="A52" s="64"/>
      <c r="B52" s="64"/>
      <c r="C52" s="64"/>
      <c r="D52" s="64"/>
      <c r="E52" s="64"/>
      <c r="F52" s="64"/>
      <c r="G52" s="66"/>
      <c r="H52" s="69" t="str">
        <f t="shared" si="0"/>
        <v/>
      </c>
      <c r="I52" s="175" t="str">
        <f t="shared" si="1"/>
        <v/>
      </c>
      <c r="J52" s="65"/>
      <c r="K52" s="64"/>
    </row>
    <row r="53" spans="1:11" x14ac:dyDescent="0.25">
      <c r="A53" s="64"/>
      <c r="B53" s="64"/>
      <c r="C53" s="64"/>
      <c r="D53" s="64"/>
      <c r="E53" s="64"/>
      <c r="F53" s="64"/>
      <c r="G53" s="66"/>
      <c r="H53" s="69" t="str">
        <f t="shared" si="0"/>
        <v/>
      </c>
      <c r="I53" s="175" t="str">
        <f t="shared" si="1"/>
        <v/>
      </c>
      <c r="J53" s="65"/>
      <c r="K53" s="64"/>
    </row>
    <row r="54" spans="1:11" x14ac:dyDescent="0.25">
      <c r="A54" s="64"/>
      <c r="B54" s="64"/>
      <c r="C54" s="64"/>
      <c r="D54" s="64"/>
      <c r="E54" s="64"/>
      <c r="F54" s="64"/>
      <c r="G54" s="66"/>
      <c r="H54" s="69" t="str">
        <f t="shared" si="0"/>
        <v/>
      </c>
      <c r="I54" s="175" t="str">
        <f t="shared" si="1"/>
        <v/>
      </c>
      <c r="J54" s="65"/>
      <c r="K54" s="64"/>
    </row>
    <row r="55" spans="1:11" x14ac:dyDescent="0.25">
      <c r="A55" s="64"/>
      <c r="B55" s="64"/>
      <c r="C55" s="64"/>
      <c r="D55" s="64"/>
      <c r="E55" s="64"/>
      <c r="F55" s="64"/>
      <c r="G55" s="66"/>
      <c r="H55" s="69" t="str">
        <f t="shared" si="0"/>
        <v/>
      </c>
      <c r="I55" s="175" t="str">
        <f t="shared" si="1"/>
        <v/>
      </c>
      <c r="J55" s="65"/>
      <c r="K55" s="64"/>
    </row>
    <row r="56" spans="1:11" x14ac:dyDescent="0.25">
      <c r="A56" s="64"/>
      <c r="B56" s="64"/>
      <c r="C56" s="64"/>
      <c r="D56" s="64"/>
      <c r="E56" s="64"/>
      <c r="F56" s="64"/>
      <c r="G56" s="66"/>
      <c r="H56" s="69" t="str">
        <f t="shared" si="0"/>
        <v/>
      </c>
      <c r="I56" s="175" t="str">
        <f t="shared" si="1"/>
        <v/>
      </c>
      <c r="J56" s="65"/>
      <c r="K56" s="64"/>
    </row>
    <row r="57" spans="1:11" x14ac:dyDescent="0.25">
      <c r="A57" s="64"/>
      <c r="B57" s="64"/>
      <c r="C57" s="64"/>
      <c r="D57" s="64"/>
      <c r="E57" s="64"/>
      <c r="F57" s="64"/>
      <c r="G57" s="66"/>
      <c r="H57" s="69" t="str">
        <f t="shared" si="0"/>
        <v/>
      </c>
      <c r="I57" s="175" t="str">
        <f t="shared" si="1"/>
        <v/>
      </c>
      <c r="J57" s="65"/>
      <c r="K57" s="64"/>
    </row>
    <row r="58" spans="1:11" x14ac:dyDescent="0.25">
      <c r="A58" s="64"/>
      <c r="B58" s="64"/>
      <c r="C58" s="64"/>
      <c r="D58" s="64"/>
      <c r="E58" s="64"/>
      <c r="F58" s="64"/>
      <c r="G58" s="66"/>
      <c r="H58" s="69" t="str">
        <f t="shared" si="0"/>
        <v/>
      </c>
      <c r="I58" s="175" t="str">
        <f t="shared" si="1"/>
        <v/>
      </c>
      <c r="J58" s="65"/>
      <c r="K58" s="64"/>
    </row>
    <row r="59" spans="1:11" x14ac:dyDescent="0.25">
      <c r="A59" s="64"/>
      <c r="B59" s="64"/>
      <c r="C59" s="64"/>
      <c r="D59" s="64"/>
      <c r="E59" s="64"/>
      <c r="F59" s="64"/>
      <c r="G59" s="66"/>
      <c r="H59" s="69" t="str">
        <f t="shared" si="0"/>
        <v/>
      </c>
      <c r="I59" s="175" t="str">
        <f t="shared" si="1"/>
        <v/>
      </c>
      <c r="J59" s="65"/>
      <c r="K59" s="64"/>
    </row>
    <row r="60" spans="1:11" x14ac:dyDescent="0.25">
      <c r="A60" s="64"/>
      <c r="B60" s="64"/>
      <c r="C60" s="64"/>
      <c r="D60" s="64"/>
      <c r="E60" s="64"/>
      <c r="F60" s="64"/>
      <c r="G60" s="66"/>
      <c r="H60" s="69" t="str">
        <f t="shared" si="0"/>
        <v/>
      </c>
      <c r="I60" s="175" t="str">
        <f t="shared" si="1"/>
        <v/>
      </c>
      <c r="J60" s="65"/>
      <c r="K60" s="64"/>
    </row>
    <row r="61" spans="1:11" x14ac:dyDescent="0.25">
      <c r="A61" s="64"/>
      <c r="B61" s="64"/>
      <c r="C61" s="64"/>
      <c r="D61" s="64"/>
      <c r="E61" s="64"/>
      <c r="F61" s="64"/>
      <c r="G61" s="66"/>
      <c r="H61" s="69" t="str">
        <f t="shared" si="0"/>
        <v/>
      </c>
      <c r="I61" s="175" t="str">
        <f t="shared" si="1"/>
        <v/>
      </c>
      <c r="J61" s="65"/>
      <c r="K61" s="64"/>
    </row>
    <row r="62" spans="1:11" x14ac:dyDescent="0.25">
      <c r="A62" s="64"/>
      <c r="B62" s="64"/>
      <c r="C62" s="64"/>
      <c r="D62" s="64"/>
      <c r="E62" s="64"/>
      <c r="F62" s="64"/>
      <c r="G62" s="66"/>
      <c r="H62" s="69" t="str">
        <f t="shared" si="0"/>
        <v/>
      </c>
      <c r="I62" s="175" t="str">
        <f t="shared" si="1"/>
        <v/>
      </c>
      <c r="J62" s="65"/>
      <c r="K62" s="64"/>
    </row>
    <row r="63" spans="1:11" x14ac:dyDescent="0.25">
      <c r="A63" s="64"/>
      <c r="B63" s="64"/>
      <c r="C63" s="64"/>
      <c r="D63" s="64"/>
      <c r="E63" s="64"/>
      <c r="F63" s="64"/>
      <c r="G63" s="66"/>
      <c r="H63" s="69" t="str">
        <f t="shared" si="0"/>
        <v/>
      </c>
      <c r="I63" s="175" t="str">
        <f t="shared" si="1"/>
        <v/>
      </c>
      <c r="J63" s="65"/>
      <c r="K63" s="64"/>
    </row>
    <row r="64" spans="1:11" x14ac:dyDescent="0.25">
      <c r="A64" s="64"/>
      <c r="B64" s="64"/>
      <c r="C64" s="64"/>
      <c r="D64" s="64"/>
      <c r="E64" s="64"/>
      <c r="F64" s="64"/>
      <c r="G64" s="66"/>
      <c r="H64" s="69" t="str">
        <f t="shared" si="0"/>
        <v/>
      </c>
      <c r="I64" s="175" t="str">
        <f t="shared" si="1"/>
        <v/>
      </c>
      <c r="J64" s="65"/>
      <c r="K64" s="64"/>
    </row>
    <row r="65" spans="1:11" x14ac:dyDescent="0.25">
      <c r="A65" s="64"/>
      <c r="B65" s="64"/>
      <c r="C65" s="64"/>
      <c r="D65" s="64"/>
      <c r="E65" s="64"/>
      <c r="F65" s="64"/>
      <c r="G65" s="66"/>
      <c r="H65" s="69" t="str">
        <f t="shared" si="0"/>
        <v/>
      </c>
      <c r="I65" s="175" t="str">
        <f t="shared" si="1"/>
        <v/>
      </c>
      <c r="J65" s="65"/>
      <c r="K65" s="64"/>
    </row>
    <row r="66" spans="1:11" x14ac:dyDescent="0.25">
      <c r="A66" s="64"/>
      <c r="B66" s="64"/>
      <c r="C66" s="64"/>
      <c r="D66" s="64"/>
      <c r="E66" s="64"/>
      <c r="F66" s="64"/>
      <c r="G66" s="66"/>
      <c r="H66" s="69" t="str">
        <f t="shared" si="0"/>
        <v/>
      </c>
      <c r="I66" s="175" t="str">
        <f t="shared" si="1"/>
        <v/>
      </c>
      <c r="J66" s="65"/>
      <c r="K66" s="64"/>
    </row>
    <row r="67" spans="1:11" x14ac:dyDescent="0.25">
      <c r="A67" s="64"/>
      <c r="B67" s="64"/>
      <c r="C67" s="64"/>
      <c r="D67" s="64"/>
      <c r="E67" s="64"/>
      <c r="F67" s="64"/>
      <c r="G67" s="66"/>
      <c r="H67" s="69" t="str">
        <f t="shared" ref="H67:H130" si="2">IFERROR(IF(OR(E67="",G67=""),"",E67*G67),"")</f>
        <v/>
      </c>
      <c r="I67" s="175" t="str">
        <f t="shared" ref="I67:I130" si="3">IF(A67="","",IF(E67="","",IF(E67&lt;=F67*0.5,"Critical",IF(E67&lt;=F67,"Reorder","OK"))))</f>
        <v/>
      </c>
      <c r="J67" s="65"/>
      <c r="K67" s="64"/>
    </row>
    <row r="68" spans="1:11" x14ac:dyDescent="0.25">
      <c r="A68" s="64"/>
      <c r="B68" s="64"/>
      <c r="C68" s="64"/>
      <c r="D68" s="64"/>
      <c r="E68" s="64"/>
      <c r="F68" s="64"/>
      <c r="G68" s="66"/>
      <c r="H68" s="69" t="str">
        <f t="shared" si="2"/>
        <v/>
      </c>
      <c r="I68" s="175" t="str">
        <f t="shared" si="3"/>
        <v/>
      </c>
      <c r="J68" s="65"/>
      <c r="K68" s="64"/>
    </row>
    <row r="69" spans="1:11" x14ac:dyDescent="0.25">
      <c r="A69" s="64"/>
      <c r="B69" s="64"/>
      <c r="C69" s="64"/>
      <c r="D69" s="64"/>
      <c r="E69" s="64"/>
      <c r="F69" s="64"/>
      <c r="G69" s="66"/>
      <c r="H69" s="69" t="str">
        <f t="shared" si="2"/>
        <v/>
      </c>
      <c r="I69" s="175" t="str">
        <f t="shared" si="3"/>
        <v/>
      </c>
      <c r="J69" s="65"/>
      <c r="K69" s="64"/>
    </row>
    <row r="70" spans="1:11" x14ac:dyDescent="0.25">
      <c r="A70" s="64"/>
      <c r="B70" s="64"/>
      <c r="C70" s="64"/>
      <c r="D70" s="64"/>
      <c r="E70" s="64"/>
      <c r="F70" s="64"/>
      <c r="G70" s="66"/>
      <c r="H70" s="69" t="str">
        <f t="shared" si="2"/>
        <v/>
      </c>
      <c r="I70" s="175" t="str">
        <f t="shared" si="3"/>
        <v/>
      </c>
      <c r="J70" s="65"/>
      <c r="K70" s="64"/>
    </row>
    <row r="71" spans="1:11" x14ac:dyDescent="0.25">
      <c r="A71" s="64"/>
      <c r="B71" s="64"/>
      <c r="C71" s="64"/>
      <c r="D71" s="64"/>
      <c r="E71" s="64"/>
      <c r="F71" s="64"/>
      <c r="G71" s="66"/>
      <c r="H71" s="69" t="str">
        <f t="shared" si="2"/>
        <v/>
      </c>
      <c r="I71" s="175" t="str">
        <f t="shared" si="3"/>
        <v/>
      </c>
      <c r="J71" s="65"/>
      <c r="K71" s="64"/>
    </row>
    <row r="72" spans="1:11" x14ac:dyDescent="0.25">
      <c r="A72" s="64"/>
      <c r="B72" s="64"/>
      <c r="C72" s="64"/>
      <c r="D72" s="64"/>
      <c r="E72" s="64"/>
      <c r="F72" s="64"/>
      <c r="G72" s="66"/>
      <c r="H72" s="69" t="str">
        <f t="shared" si="2"/>
        <v/>
      </c>
      <c r="I72" s="175" t="str">
        <f t="shared" si="3"/>
        <v/>
      </c>
      <c r="J72" s="65"/>
      <c r="K72" s="64"/>
    </row>
    <row r="73" spans="1:11" x14ac:dyDescent="0.25">
      <c r="A73" s="64"/>
      <c r="B73" s="64"/>
      <c r="C73" s="64"/>
      <c r="D73" s="64"/>
      <c r="E73" s="64"/>
      <c r="F73" s="64"/>
      <c r="G73" s="66"/>
      <c r="H73" s="69" t="str">
        <f t="shared" si="2"/>
        <v/>
      </c>
      <c r="I73" s="175" t="str">
        <f t="shared" si="3"/>
        <v/>
      </c>
      <c r="J73" s="65"/>
      <c r="K73" s="64"/>
    </row>
    <row r="74" spans="1:11" x14ac:dyDescent="0.25">
      <c r="A74" s="64"/>
      <c r="B74" s="64"/>
      <c r="C74" s="64"/>
      <c r="D74" s="64"/>
      <c r="E74" s="64"/>
      <c r="F74" s="64"/>
      <c r="G74" s="66"/>
      <c r="H74" s="69" t="str">
        <f t="shared" si="2"/>
        <v/>
      </c>
      <c r="I74" s="175" t="str">
        <f t="shared" si="3"/>
        <v/>
      </c>
      <c r="J74" s="65"/>
      <c r="K74" s="64"/>
    </row>
    <row r="75" spans="1:11" x14ac:dyDescent="0.25">
      <c r="A75" s="64"/>
      <c r="B75" s="64"/>
      <c r="C75" s="64"/>
      <c r="D75" s="64"/>
      <c r="E75" s="64"/>
      <c r="F75" s="64"/>
      <c r="G75" s="66"/>
      <c r="H75" s="69" t="str">
        <f t="shared" si="2"/>
        <v/>
      </c>
      <c r="I75" s="175" t="str">
        <f t="shared" si="3"/>
        <v/>
      </c>
      <c r="J75" s="65"/>
      <c r="K75" s="64"/>
    </row>
    <row r="76" spans="1:11" x14ac:dyDescent="0.25">
      <c r="A76" s="64"/>
      <c r="B76" s="64"/>
      <c r="C76" s="64"/>
      <c r="D76" s="64"/>
      <c r="E76" s="64"/>
      <c r="F76" s="64"/>
      <c r="G76" s="66"/>
      <c r="H76" s="69" t="str">
        <f t="shared" si="2"/>
        <v/>
      </c>
      <c r="I76" s="175" t="str">
        <f t="shared" si="3"/>
        <v/>
      </c>
      <c r="J76" s="65"/>
      <c r="K76" s="64"/>
    </row>
    <row r="77" spans="1:11" x14ac:dyDescent="0.25">
      <c r="A77" s="64"/>
      <c r="B77" s="64"/>
      <c r="C77" s="64"/>
      <c r="D77" s="64"/>
      <c r="E77" s="64"/>
      <c r="F77" s="64"/>
      <c r="G77" s="66"/>
      <c r="H77" s="69" t="str">
        <f t="shared" si="2"/>
        <v/>
      </c>
      <c r="I77" s="175" t="str">
        <f t="shared" si="3"/>
        <v/>
      </c>
      <c r="J77" s="65"/>
      <c r="K77" s="64"/>
    </row>
    <row r="78" spans="1:11" x14ac:dyDescent="0.25">
      <c r="A78" s="64"/>
      <c r="B78" s="64"/>
      <c r="C78" s="64"/>
      <c r="D78" s="64"/>
      <c r="E78" s="64"/>
      <c r="F78" s="64"/>
      <c r="G78" s="66"/>
      <c r="H78" s="69" t="str">
        <f t="shared" si="2"/>
        <v/>
      </c>
      <c r="I78" s="175" t="str">
        <f t="shared" si="3"/>
        <v/>
      </c>
      <c r="J78" s="65"/>
      <c r="K78" s="64"/>
    </row>
    <row r="79" spans="1:11" x14ac:dyDescent="0.25">
      <c r="A79" s="64"/>
      <c r="B79" s="64"/>
      <c r="C79" s="64"/>
      <c r="D79" s="64"/>
      <c r="E79" s="64"/>
      <c r="F79" s="64"/>
      <c r="G79" s="66"/>
      <c r="H79" s="69" t="str">
        <f t="shared" si="2"/>
        <v/>
      </c>
      <c r="I79" s="175" t="str">
        <f t="shared" si="3"/>
        <v/>
      </c>
      <c r="J79" s="65"/>
      <c r="K79" s="64"/>
    </row>
    <row r="80" spans="1:11" x14ac:dyDescent="0.25">
      <c r="A80" s="64"/>
      <c r="B80" s="64"/>
      <c r="C80" s="64"/>
      <c r="D80" s="64"/>
      <c r="E80" s="64"/>
      <c r="F80" s="64"/>
      <c r="G80" s="66"/>
      <c r="H80" s="69" t="str">
        <f t="shared" si="2"/>
        <v/>
      </c>
      <c r="I80" s="175" t="str">
        <f t="shared" si="3"/>
        <v/>
      </c>
      <c r="J80" s="65"/>
      <c r="K80" s="64"/>
    </row>
    <row r="81" spans="1:11" x14ac:dyDescent="0.25">
      <c r="A81" s="64"/>
      <c r="B81" s="64"/>
      <c r="C81" s="64"/>
      <c r="D81" s="64"/>
      <c r="E81" s="64"/>
      <c r="F81" s="64"/>
      <c r="G81" s="66"/>
      <c r="H81" s="69" t="str">
        <f t="shared" si="2"/>
        <v/>
      </c>
      <c r="I81" s="175" t="str">
        <f t="shared" si="3"/>
        <v/>
      </c>
      <c r="J81" s="65"/>
      <c r="K81" s="64"/>
    </row>
    <row r="82" spans="1:11" x14ac:dyDescent="0.25">
      <c r="A82" s="64"/>
      <c r="B82" s="64"/>
      <c r="C82" s="64"/>
      <c r="D82" s="64"/>
      <c r="E82" s="64"/>
      <c r="F82" s="64"/>
      <c r="G82" s="66"/>
      <c r="H82" s="69" t="str">
        <f t="shared" si="2"/>
        <v/>
      </c>
      <c r="I82" s="175" t="str">
        <f t="shared" si="3"/>
        <v/>
      </c>
      <c r="J82" s="65"/>
      <c r="K82" s="64"/>
    </row>
    <row r="83" spans="1:11" x14ac:dyDescent="0.25">
      <c r="A83" s="64"/>
      <c r="B83" s="64"/>
      <c r="C83" s="64"/>
      <c r="D83" s="64"/>
      <c r="E83" s="64"/>
      <c r="F83" s="64"/>
      <c r="G83" s="66"/>
      <c r="H83" s="69" t="str">
        <f t="shared" si="2"/>
        <v/>
      </c>
      <c r="I83" s="175" t="str">
        <f t="shared" si="3"/>
        <v/>
      </c>
      <c r="J83" s="65"/>
      <c r="K83" s="64"/>
    </row>
    <row r="84" spans="1:11" x14ac:dyDescent="0.25">
      <c r="A84" s="64"/>
      <c r="B84" s="64"/>
      <c r="C84" s="64"/>
      <c r="D84" s="64"/>
      <c r="E84" s="64"/>
      <c r="F84" s="64"/>
      <c r="G84" s="66"/>
      <c r="H84" s="69" t="str">
        <f t="shared" si="2"/>
        <v/>
      </c>
      <c r="I84" s="175" t="str">
        <f t="shared" si="3"/>
        <v/>
      </c>
      <c r="J84" s="65"/>
      <c r="K84" s="64"/>
    </row>
    <row r="85" spans="1:11" x14ac:dyDescent="0.25">
      <c r="A85" s="64"/>
      <c r="B85" s="64"/>
      <c r="C85" s="64"/>
      <c r="D85" s="64"/>
      <c r="E85" s="64"/>
      <c r="F85" s="64"/>
      <c r="G85" s="66"/>
      <c r="H85" s="69" t="str">
        <f t="shared" si="2"/>
        <v/>
      </c>
      <c r="I85" s="175" t="str">
        <f t="shared" si="3"/>
        <v/>
      </c>
      <c r="J85" s="65"/>
      <c r="K85" s="64"/>
    </row>
    <row r="86" spans="1:11" x14ac:dyDescent="0.25">
      <c r="A86" s="64"/>
      <c r="B86" s="64"/>
      <c r="C86" s="64"/>
      <c r="D86" s="64"/>
      <c r="E86" s="64"/>
      <c r="F86" s="64"/>
      <c r="G86" s="66"/>
      <c r="H86" s="69" t="str">
        <f t="shared" si="2"/>
        <v/>
      </c>
      <c r="I86" s="175" t="str">
        <f t="shared" si="3"/>
        <v/>
      </c>
      <c r="J86" s="65"/>
      <c r="K86" s="64"/>
    </row>
    <row r="87" spans="1:11" x14ac:dyDescent="0.25">
      <c r="A87" s="64"/>
      <c r="B87" s="64"/>
      <c r="C87" s="64"/>
      <c r="D87" s="64"/>
      <c r="E87" s="64"/>
      <c r="F87" s="64"/>
      <c r="G87" s="66"/>
      <c r="H87" s="69" t="str">
        <f t="shared" si="2"/>
        <v/>
      </c>
      <c r="I87" s="175" t="str">
        <f t="shared" si="3"/>
        <v/>
      </c>
      <c r="J87" s="65"/>
      <c r="K87" s="64"/>
    </row>
    <row r="88" spans="1:11" x14ac:dyDescent="0.25">
      <c r="A88" s="64"/>
      <c r="B88" s="64"/>
      <c r="C88" s="64"/>
      <c r="D88" s="64"/>
      <c r="E88" s="64"/>
      <c r="F88" s="64"/>
      <c r="G88" s="66"/>
      <c r="H88" s="69" t="str">
        <f t="shared" si="2"/>
        <v/>
      </c>
      <c r="I88" s="175" t="str">
        <f t="shared" si="3"/>
        <v/>
      </c>
      <c r="J88" s="65"/>
      <c r="K88" s="64"/>
    </row>
    <row r="89" spans="1:11" x14ac:dyDescent="0.25">
      <c r="A89" s="64"/>
      <c r="B89" s="64"/>
      <c r="C89" s="64"/>
      <c r="D89" s="64"/>
      <c r="E89" s="64"/>
      <c r="F89" s="64"/>
      <c r="G89" s="66"/>
      <c r="H89" s="69" t="str">
        <f t="shared" si="2"/>
        <v/>
      </c>
      <c r="I89" s="175" t="str">
        <f t="shared" si="3"/>
        <v/>
      </c>
      <c r="J89" s="65"/>
      <c r="K89" s="64"/>
    </row>
    <row r="90" spans="1:11" x14ac:dyDescent="0.25">
      <c r="A90" s="64"/>
      <c r="B90" s="64"/>
      <c r="C90" s="64"/>
      <c r="D90" s="64"/>
      <c r="E90" s="64"/>
      <c r="F90" s="64"/>
      <c r="G90" s="66"/>
      <c r="H90" s="69" t="str">
        <f t="shared" si="2"/>
        <v/>
      </c>
      <c r="I90" s="175" t="str">
        <f t="shared" si="3"/>
        <v/>
      </c>
      <c r="J90" s="65"/>
      <c r="K90" s="64"/>
    </row>
    <row r="91" spans="1:11" x14ac:dyDescent="0.25">
      <c r="A91" s="64"/>
      <c r="B91" s="64"/>
      <c r="C91" s="64"/>
      <c r="D91" s="64"/>
      <c r="E91" s="64"/>
      <c r="F91" s="64"/>
      <c r="G91" s="66"/>
      <c r="H91" s="69" t="str">
        <f t="shared" si="2"/>
        <v/>
      </c>
      <c r="I91" s="175" t="str">
        <f t="shared" si="3"/>
        <v/>
      </c>
      <c r="J91" s="65"/>
      <c r="K91" s="64"/>
    </row>
    <row r="92" spans="1:11" x14ac:dyDescent="0.25">
      <c r="A92" s="64"/>
      <c r="B92" s="64"/>
      <c r="C92" s="64"/>
      <c r="D92" s="64"/>
      <c r="E92" s="64"/>
      <c r="F92" s="64"/>
      <c r="G92" s="66"/>
      <c r="H92" s="69" t="str">
        <f t="shared" si="2"/>
        <v/>
      </c>
      <c r="I92" s="175" t="str">
        <f t="shared" si="3"/>
        <v/>
      </c>
      <c r="J92" s="65"/>
      <c r="K92" s="64"/>
    </row>
    <row r="93" spans="1:11" x14ac:dyDescent="0.25">
      <c r="A93" s="64"/>
      <c r="B93" s="64"/>
      <c r="C93" s="64"/>
      <c r="D93" s="64"/>
      <c r="E93" s="64"/>
      <c r="F93" s="64"/>
      <c r="G93" s="66"/>
      <c r="H93" s="69" t="str">
        <f t="shared" si="2"/>
        <v/>
      </c>
      <c r="I93" s="175" t="str">
        <f t="shared" si="3"/>
        <v/>
      </c>
      <c r="J93" s="65"/>
      <c r="K93" s="64"/>
    </row>
    <row r="94" spans="1:11" x14ac:dyDescent="0.25">
      <c r="A94" s="64"/>
      <c r="B94" s="64"/>
      <c r="C94" s="64"/>
      <c r="D94" s="64"/>
      <c r="E94" s="64"/>
      <c r="F94" s="64"/>
      <c r="G94" s="66"/>
      <c r="H94" s="69" t="str">
        <f t="shared" si="2"/>
        <v/>
      </c>
      <c r="I94" s="175" t="str">
        <f t="shared" si="3"/>
        <v/>
      </c>
      <c r="J94" s="65"/>
      <c r="K94" s="64"/>
    </row>
    <row r="95" spans="1:11" x14ac:dyDescent="0.25">
      <c r="A95" s="64"/>
      <c r="B95" s="64"/>
      <c r="C95" s="64"/>
      <c r="D95" s="64"/>
      <c r="E95" s="64"/>
      <c r="F95" s="64"/>
      <c r="G95" s="66"/>
      <c r="H95" s="69" t="str">
        <f t="shared" si="2"/>
        <v/>
      </c>
      <c r="I95" s="175" t="str">
        <f t="shared" si="3"/>
        <v/>
      </c>
      <c r="J95" s="65"/>
      <c r="K95" s="64"/>
    </row>
    <row r="96" spans="1:11" x14ac:dyDescent="0.25">
      <c r="A96" s="64"/>
      <c r="B96" s="64"/>
      <c r="C96" s="64"/>
      <c r="D96" s="64"/>
      <c r="E96" s="64"/>
      <c r="F96" s="64"/>
      <c r="G96" s="66"/>
      <c r="H96" s="69" t="str">
        <f t="shared" si="2"/>
        <v/>
      </c>
      <c r="I96" s="175" t="str">
        <f t="shared" si="3"/>
        <v/>
      </c>
      <c r="J96" s="65"/>
      <c r="K96" s="64"/>
    </row>
    <row r="97" spans="1:11" x14ac:dyDescent="0.25">
      <c r="A97" s="64"/>
      <c r="B97" s="64"/>
      <c r="C97" s="64"/>
      <c r="D97" s="64"/>
      <c r="E97" s="64"/>
      <c r="F97" s="64"/>
      <c r="G97" s="66"/>
      <c r="H97" s="69" t="str">
        <f t="shared" si="2"/>
        <v/>
      </c>
      <c r="I97" s="175" t="str">
        <f t="shared" si="3"/>
        <v/>
      </c>
      <c r="J97" s="65"/>
      <c r="K97" s="64"/>
    </row>
    <row r="98" spans="1:11" x14ac:dyDescent="0.25">
      <c r="A98" s="64"/>
      <c r="B98" s="64"/>
      <c r="C98" s="64"/>
      <c r="D98" s="64"/>
      <c r="E98" s="64"/>
      <c r="F98" s="64"/>
      <c r="G98" s="66"/>
      <c r="H98" s="69" t="str">
        <f t="shared" si="2"/>
        <v/>
      </c>
      <c r="I98" s="175" t="str">
        <f t="shared" si="3"/>
        <v/>
      </c>
      <c r="J98" s="65"/>
      <c r="K98" s="64"/>
    </row>
    <row r="99" spans="1:11" x14ac:dyDescent="0.25">
      <c r="A99" s="64"/>
      <c r="B99" s="64"/>
      <c r="C99" s="64"/>
      <c r="D99" s="64"/>
      <c r="E99" s="64"/>
      <c r="F99" s="64"/>
      <c r="G99" s="66"/>
      <c r="H99" s="69" t="str">
        <f t="shared" si="2"/>
        <v/>
      </c>
      <c r="I99" s="175" t="str">
        <f t="shared" si="3"/>
        <v/>
      </c>
      <c r="J99" s="65"/>
      <c r="K99" s="64"/>
    </row>
    <row r="100" spans="1:11" x14ac:dyDescent="0.25">
      <c r="A100" s="64"/>
      <c r="B100" s="64"/>
      <c r="C100" s="64"/>
      <c r="D100" s="64"/>
      <c r="E100" s="64"/>
      <c r="F100" s="64"/>
      <c r="G100" s="66"/>
      <c r="H100" s="69" t="str">
        <f t="shared" si="2"/>
        <v/>
      </c>
      <c r="I100" s="175" t="str">
        <f t="shared" si="3"/>
        <v/>
      </c>
      <c r="J100" s="65"/>
      <c r="K100" s="64"/>
    </row>
    <row r="101" spans="1:11" x14ac:dyDescent="0.25">
      <c r="A101" s="64"/>
      <c r="B101" s="64"/>
      <c r="C101" s="64"/>
      <c r="D101" s="64"/>
      <c r="E101" s="64"/>
      <c r="F101" s="64"/>
      <c r="G101" s="66"/>
      <c r="H101" s="69" t="str">
        <f t="shared" si="2"/>
        <v/>
      </c>
      <c r="I101" s="175" t="str">
        <f t="shared" si="3"/>
        <v/>
      </c>
      <c r="J101" s="65"/>
      <c r="K101" s="64"/>
    </row>
    <row r="102" spans="1:11" x14ac:dyDescent="0.25">
      <c r="A102" s="64"/>
      <c r="B102" s="64"/>
      <c r="C102" s="64"/>
      <c r="D102" s="64"/>
      <c r="E102" s="64"/>
      <c r="F102" s="64"/>
      <c r="G102" s="66"/>
      <c r="H102" s="69" t="str">
        <f t="shared" si="2"/>
        <v/>
      </c>
      <c r="I102" s="175" t="str">
        <f t="shared" si="3"/>
        <v/>
      </c>
      <c r="J102" s="65"/>
      <c r="K102" s="64"/>
    </row>
    <row r="103" spans="1:11" x14ac:dyDescent="0.25">
      <c r="A103" s="64"/>
      <c r="B103" s="64"/>
      <c r="C103" s="64"/>
      <c r="D103" s="64"/>
      <c r="E103" s="64"/>
      <c r="F103" s="64"/>
      <c r="G103" s="66"/>
      <c r="H103" s="69" t="str">
        <f t="shared" si="2"/>
        <v/>
      </c>
      <c r="I103" s="175" t="str">
        <f t="shared" si="3"/>
        <v/>
      </c>
      <c r="J103" s="65"/>
      <c r="K103" s="64"/>
    </row>
    <row r="104" spans="1:11" x14ac:dyDescent="0.25">
      <c r="A104" s="64"/>
      <c r="B104" s="64"/>
      <c r="C104" s="64"/>
      <c r="D104" s="64"/>
      <c r="E104" s="64"/>
      <c r="F104" s="64"/>
      <c r="G104" s="66"/>
      <c r="H104" s="69" t="str">
        <f t="shared" si="2"/>
        <v/>
      </c>
      <c r="I104" s="175" t="str">
        <f t="shared" si="3"/>
        <v/>
      </c>
      <c r="J104" s="65"/>
      <c r="K104" s="64"/>
    </row>
    <row r="105" spans="1:11" x14ac:dyDescent="0.25">
      <c r="A105" s="64"/>
      <c r="B105" s="64"/>
      <c r="C105" s="64"/>
      <c r="D105" s="64"/>
      <c r="E105" s="64"/>
      <c r="F105" s="64"/>
      <c r="G105" s="66"/>
      <c r="H105" s="69" t="str">
        <f t="shared" si="2"/>
        <v/>
      </c>
      <c r="I105" s="175" t="str">
        <f t="shared" si="3"/>
        <v/>
      </c>
      <c r="J105" s="65"/>
      <c r="K105" s="64"/>
    </row>
    <row r="106" spans="1:11" x14ac:dyDescent="0.25">
      <c r="A106" s="64"/>
      <c r="B106" s="64"/>
      <c r="C106" s="64"/>
      <c r="D106" s="64"/>
      <c r="E106" s="64"/>
      <c r="F106" s="64"/>
      <c r="G106" s="66"/>
      <c r="H106" s="69" t="str">
        <f t="shared" si="2"/>
        <v/>
      </c>
      <c r="I106" s="175" t="str">
        <f t="shared" si="3"/>
        <v/>
      </c>
      <c r="J106" s="65"/>
      <c r="K106" s="64"/>
    </row>
    <row r="107" spans="1:11" x14ac:dyDescent="0.25">
      <c r="A107" s="64"/>
      <c r="B107" s="64"/>
      <c r="C107" s="64"/>
      <c r="D107" s="64"/>
      <c r="E107" s="64"/>
      <c r="F107" s="64"/>
      <c r="G107" s="66"/>
      <c r="H107" s="69" t="str">
        <f t="shared" si="2"/>
        <v/>
      </c>
      <c r="I107" s="175" t="str">
        <f t="shared" si="3"/>
        <v/>
      </c>
      <c r="J107" s="65"/>
      <c r="K107" s="64"/>
    </row>
    <row r="108" spans="1:11" x14ac:dyDescent="0.25">
      <c r="A108" s="64"/>
      <c r="B108" s="64"/>
      <c r="C108" s="64"/>
      <c r="D108" s="64"/>
      <c r="E108" s="64"/>
      <c r="F108" s="64"/>
      <c r="G108" s="66"/>
      <c r="H108" s="69" t="str">
        <f t="shared" si="2"/>
        <v/>
      </c>
      <c r="I108" s="175" t="str">
        <f t="shared" si="3"/>
        <v/>
      </c>
      <c r="J108" s="65"/>
      <c r="K108" s="64"/>
    </row>
    <row r="109" spans="1:11" x14ac:dyDescent="0.25">
      <c r="A109" s="64"/>
      <c r="B109" s="64"/>
      <c r="C109" s="64"/>
      <c r="D109" s="64"/>
      <c r="E109" s="64"/>
      <c r="F109" s="64"/>
      <c r="G109" s="66"/>
      <c r="H109" s="69" t="str">
        <f t="shared" si="2"/>
        <v/>
      </c>
      <c r="I109" s="175" t="str">
        <f t="shared" si="3"/>
        <v/>
      </c>
      <c r="J109" s="65"/>
      <c r="K109" s="64"/>
    </row>
    <row r="110" spans="1:11" x14ac:dyDescent="0.25">
      <c r="A110" s="64"/>
      <c r="B110" s="64"/>
      <c r="C110" s="64"/>
      <c r="D110" s="64"/>
      <c r="E110" s="64"/>
      <c r="F110" s="64"/>
      <c r="G110" s="66"/>
      <c r="H110" s="69" t="str">
        <f t="shared" si="2"/>
        <v/>
      </c>
      <c r="I110" s="175" t="str">
        <f t="shared" si="3"/>
        <v/>
      </c>
      <c r="J110" s="65"/>
      <c r="K110" s="64"/>
    </row>
    <row r="111" spans="1:11" x14ac:dyDescent="0.25">
      <c r="A111" s="64"/>
      <c r="B111" s="64"/>
      <c r="C111" s="64"/>
      <c r="D111" s="64"/>
      <c r="E111" s="64"/>
      <c r="F111" s="64"/>
      <c r="G111" s="66"/>
      <c r="H111" s="69" t="str">
        <f t="shared" si="2"/>
        <v/>
      </c>
      <c r="I111" s="175" t="str">
        <f t="shared" si="3"/>
        <v/>
      </c>
      <c r="J111" s="65"/>
      <c r="K111" s="64"/>
    </row>
    <row r="112" spans="1:11" x14ac:dyDescent="0.25">
      <c r="A112" s="64"/>
      <c r="B112" s="64"/>
      <c r="C112" s="64"/>
      <c r="D112" s="64"/>
      <c r="E112" s="64"/>
      <c r="F112" s="64"/>
      <c r="G112" s="66"/>
      <c r="H112" s="69" t="str">
        <f t="shared" si="2"/>
        <v/>
      </c>
      <c r="I112" s="175" t="str">
        <f t="shared" si="3"/>
        <v/>
      </c>
      <c r="J112" s="65"/>
      <c r="K112" s="64"/>
    </row>
    <row r="113" spans="1:11" x14ac:dyDescent="0.25">
      <c r="A113" s="64"/>
      <c r="B113" s="64"/>
      <c r="C113" s="64"/>
      <c r="D113" s="64"/>
      <c r="E113" s="64"/>
      <c r="F113" s="64"/>
      <c r="G113" s="66"/>
      <c r="H113" s="69" t="str">
        <f t="shared" si="2"/>
        <v/>
      </c>
      <c r="I113" s="175" t="str">
        <f t="shared" si="3"/>
        <v/>
      </c>
      <c r="J113" s="65"/>
      <c r="K113" s="64"/>
    </row>
    <row r="114" spans="1:11" x14ac:dyDescent="0.25">
      <c r="A114" s="64"/>
      <c r="B114" s="64"/>
      <c r="C114" s="64"/>
      <c r="D114" s="64"/>
      <c r="E114" s="64"/>
      <c r="F114" s="64"/>
      <c r="G114" s="66"/>
      <c r="H114" s="69" t="str">
        <f t="shared" si="2"/>
        <v/>
      </c>
      <c r="I114" s="175" t="str">
        <f t="shared" si="3"/>
        <v/>
      </c>
      <c r="J114" s="65"/>
      <c r="K114" s="64"/>
    </row>
    <row r="115" spans="1:11" x14ac:dyDescent="0.25">
      <c r="A115" s="64"/>
      <c r="B115" s="64"/>
      <c r="C115" s="64"/>
      <c r="D115" s="64"/>
      <c r="E115" s="64"/>
      <c r="F115" s="64"/>
      <c r="G115" s="66"/>
      <c r="H115" s="69" t="str">
        <f t="shared" si="2"/>
        <v/>
      </c>
      <c r="I115" s="175" t="str">
        <f t="shared" si="3"/>
        <v/>
      </c>
      <c r="J115" s="65"/>
      <c r="K115" s="64"/>
    </row>
    <row r="116" spans="1:11" x14ac:dyDescent="0.25">
      <c r="A116" s="64"/>
      <c r="B116" s="64"/>
      <c r="C116" s="64"/>
      <c r="D116" s="64"/>
      <c r="E116" s="64"/>
      <c r="F116" s="64"/>
      <c r="G116" s="66"/>
      <c r="H116" s="69" t="str">
        <f t="shared" si="2"/>
        <v/>
      </c>
      <c r="I116" s="175" t="str">
        <f t="shared" si="3"/>
        <v/>
      </c>
      <c r="J116" s="65"/>
      <c r="K116" s="64"/>
    </row>
    <row r="117" spans="1:11" x14ac:dyDescent="0.25">
      <c r="A117" s="64"/>
      <c r="B117" s="64"/>
      <c r="C117" s="64"/>
      <c r="D117" s="64"/>
      <c r="E117" s="64"/>
      <c r="F117" s="64"/>
      <c r="G117" s="66"/>
      <c r="H117" s="69" t="str">
        <f t="shared" si="2"/>
        <v/>
      </c>
      <c r="I117" s="175" t="str">
        <f t="shared" si="3"/>
        <v/>
      </c>
      <c r="J117" s="65"/>
      <c r="K117" s="64"/>
    </row>
    <row r="118" spans="1:11" x14ac:dyDescent="0.25">
      <c r="A118" s="64"/>
      <c r="B118" s="64"/>
      <c r="C118" s="64"/>
      <c r="D118" s="64"/>
      <c r="E118" s="64"/>
      <c r="F118" s="64"/>
      <c r="G118" s="66"/>
      <c r="H118" s="69" t="str">
        <f t="shared" si="2"/>
        <v/>
      </c>
      <c r="I118" s="175" t="str">
        <f t="shared" si="3"/>
        <v/>
      </c>
      <c r="J118" s="65"/>
      <c r="K118" s="64"/>
    </row>
    <row r="119" spans="1:11" x14ac:dyDescent="0.25">
      <c r="A119" s="64"/>
      <c r="B119" s="64"/>
      <c r="C119" s="64"/>
      <c r="D119" s="64"/>
      <c r="E119" s="64"/>
      <c r="F119" s="64"/>
      <c r="G119" s="66"/>
      <c r="H119" s="69" t="str">
        <f t="shared" si="2"/>
        <v/>
      </c>
      <c r="I119" s="175" t="str">
        <f t="shared" si="3"/>
        <v/>
      </c>
      <c r="J119" s="65"/>
      <c r="K119" s="64"/>
    </row>
    <row r="120" spans="1:11" x14ac:dyDescent="0.25">
      <c r="A120" s="64"/>
      <c r="B120" s="64"/>
      <c r="C120" s="64"/>
      <c r="D120" s="64"/>
      <c r="E120" s="64"/>
      <c r="F120" s="64"/>
      <c r="G120" s="66"/>
      <c r="H120" s="69" t="str">
        <f t="shared" si="2"/>
        <v/>
      </c>
      <c r="I120" s="175" t="str">
        <f t="shared" si="3"/>
        <v/>
      </c>
      <c r="J120" s="65"/>
      <c r="K120" s="64"/>
    </row>
    <row r="121" spans="1:11" x14ac:dyDescent="0.25">
      <c r="A121" s="64"/>
      <c r="B121" s="64"/>
      <c r="C121" s="64"/>
      <c r="D121" s="64"/>
      <c r="E121" s="64"/>
      <c r="F121" s="64"/>
      <c r="G121" s="66"/>
      <c r="H121" s="69" t="str">
        <f t="shared" si="2"/>
        <v/>
      </c>
      <c r="I121" s="175" t="str">
        <f t="shared" si="3"/>
        <v/>
      </c>
      <c r="J121" s="65"/>
      <c r="K121" s="64"/>
    </row>
    <row r="122" spans="1:11" x14ac:dyDescent="0.25">
      <c r="A122" s="64"/>
      <c r="B122" s="64"/>
      <c r="C122" s="64"/>
      <c r="D122" s="64"/>
      <c r="E122" s="64"/>
      <c r="F122" s="64"/>
      <c r="G122" s="66"/>
      <c r="H122" s="69" t="str">
        <f t="shared" si="2"/>
        <v/>
      </c>
      <c r="I122" s="175" t="str">
        <f t="shared" si="3"/>
        <v/>
      </c>
      <c r="J122" s="65"/>
      <c r="K122" s="64"/>
    </row>
    <row r="123" spans="1:11" x14ac:dyDescent="0.25">
      <c r="A123" s="64"/>
      <c r="B123" s="64"/>
      <c r="C123" s="64"/>
      <c r="D123" s="64"/>
      <c r="E123" s="64"/>
      <c r="F123" s="64"/>
      <c r="G123" s="66"/>
      <c r="H123" s="69" t="str">
        <f t="shared" si="2"/>
        <v/>
      </c>
      <c r="I123" s="175" t="str">
        <f t="shared" si="3"/>
        <v/>
      </c>
      <c r="J123" s="65"/>
      <c r="K123" s="64"/>
    </row>
    <row r="124" spans="1:11" x14ac:dyDescent="0.25">
      <c r="A124" s="64"/>
      <c r="B124" s="64"/>
      <c r="C124" s="64"/>
      <c r="D124" s="64"/>
      <c r="E124" s="64"/>
      <c r="F124" s="64"/>
      <c r="G124" s="66"/>
      <c r="H124" s="69" t="str">
        <f t="shared" si="2"/>
        <v/>
      </c>
      <c r="I124" s="175" t="str">
        <f t="shared" si="3"/>
        <v/>
      </c>
      <c r="J124" s="65"/>
      <c r="K124" s="64"/>
    </row>
    <row r="125" spans="1:11" x14ac:dyDescent="0.25">
      <c r="A125" s="64"/>
      <c r="B125" s="64"/>
      <c r="C125" s="64"/>
      <c r="D125" s="64"/>
      <c r="E125" s="64"/>
      <c r="F125" s="64"/>
      <c r="G125" s="66"/>
      <c r="H125" s="69" t="str">
        <f t="shared" si="2"/>
        <v/>
      </c>
      <c r="I125" s="175" t="str">
        <f t="shared" si="3"/>
        <v/>
      </c>
      <c r="J125" s="65"/>
      <c r="K125" s="64"/>
    </row>
    <row r="126" spans="1:11" x14ac:dyDescent="0.25">
      <c r="A126" s="64"/>
      <c r="B126" s="64"/>
      <c r="C126" s="64"/>
      <c r="D126" s="64"/>
      <c r="E126" s="64"/>
      <c r="F126" s="64"/>
      <c r="G126" s="66"/>
      <c r="H126" s="69" t="str">
        <f t="shared" si="2"/>
        <v/>
      </c>
      <c r="I126" s="175" t="str">
        <f t="shared" si="3"/>
        <v/>
      </c>
      <c r="J126" s="65"/>
      <c r="K126" s="64"/>
    </row>
    <row r="127" spans="1:11" x14ac:dyDescent="0.25">
      <c r="A127" s="64"/>
      <c r="B127" s="64"/>
      <c r="C127" s="64"/>
      <c r="D127" s="64"/>
      <c r="E127" s="64"/>
      <c r="F127" s="64"/>
      <c r="G127" s="66"/>
      <c r="H127" s="69" t="str">
        <f t="shared" si="2"/>
        <v/>
      </c>
      <c r="I127" s="175" t="str">
        <f t="shared" si="3"/>
        <v/>
      </c>
      <c r="J127" s="65"/>
      <c r="K127" s="64"/>
    </row>
    <row r="128" spans="1:11" x14ac:dyDescent="0.25">
      <c r="A128" s="64"/>
      <c r="B128" s="64"/>
      <c r="C128" s="64"/>
      <c r="D128" s="64"/>
      <c r="E128" s="64"/>
      <c r="F128" s="64"/>
      <c r="G128" s="66"/>
      <c r="H128" s="69" t="str">
        <f t="shared" si="2"/>
        <v/>
      </c>
      <c r="I128" s="175" t="str">
        <f t="shared" si="3"/>
        <v/>
      </c>
      <c r="J128" s="65"/>
      <c r="K128" s="64"/>
    </row>
    <row r="129" spans="1:11" x14ac:dyDescent="0.25">
      <c r="A129" s="64"/>
      <c r="B129" s="64"/>
      <c r="C129" s="64"/>
      <c r="D129" s="64"/>
      <c r="E129" s="64"/>
      <c r="F129" s="64"/>
      <c r="G129" s="66"/>
      <c r="H129" s="69" t="str">
        <f t="shared" si="2"/>
        <v/>
      </c>
      <c r="I129" s="175" t="str">
        <f t="shared" si="3"/>
        <v/>
      </c>
      <c r="J129" s="65"/>
      <c r="K129" s="64"/>
    </row>
    <row r="130" spans="1:11" x14ac:dyDescent="0.25">
      <c r="A130" s="64"/>
      <c r="B130" s="64"/>
      <c r="C130" s="64"/>
      <c r="D130" s="64"/>
      <c r="E130" s="64"/>
      <c r="F130" s="64"/>
      <c r="G130" s="66"/>
      <c r="H130" s="69" t="str">
        <f t="shared" si="2"/>
        <v/>
      </c>
      <c r="I130" s="175" t="str">
        <f t="shared" si="3"/>
        <v/>
      </c>
      <c r="J130" s="65"/>
      <c r="K130" s="64"/>
    </row>
    <row r="131" spans="1:11" x14ac:dyDescent="0.25">
      <c r="A131" s="64"/>
      <c r="B131" s="64"/>
      <c r="C131" s="64"/>
      <c r="D131" s="64"/>
      <c r="E131" s="64"/>
      <c r="F131" s="64"/>
      <c r="G131" s="66"/>
      <c r="H131" s="69" t="str">
        <f t="shared" ref="H131:H194" si="4">IFERROR(IF(OR(E131="",G131=""),"",E131*G131),"")</f>
        <v/>
      </c>
      <c r="I131" s="175" t="str">
        <f t="shared" ref="I131:I194" si="5">IF(A131="","",IF(E131="","",IF(E131&lt;=F131*0.5,"Critical",IF(E131&lt;=F131,"Reorder","OK"))))</f>
        <v/>
      </c>
      <c r="J131" s="65"/>
      <c r="K131" s="64"/>
    </row>
    <row r="132" spans="1:11" x14ac:dyDescent="0.25">
      <c r="A132" s="64"/>
      <c r="B132" s="64"/>
      <c r="C132" s="64"/>
      <c r="D132" s="64"/>
      <c r="E132" s="64"/>
      <c r="F132" s="64"/>
      <c r="G132" s="66"/>
      <c r="H132" s="69" t="str">
        <f t="shared" si="4"/>
        <v/>
      </c>
      <c r="I132" s="175" t="str">
        <f t="shared" si="5"/>
        <v/>
      </c>
      <c r="J132" s="65"/>
      <c r="K132" s="64"/>
    </row>
    <row r="133" spans="1:11" x14ac:dyDescent="0.25">
      <c r="A133" s="64"/>
      <c r="B133" s="64"/>
      <c r="C133" s="64"/>
      <c r="D133" s="64"/>
      <c r="E133" s="64"/>
      <c r="F133" s="64"/>
      <c r="G133" s="66"/>
      <c r="H133" s="69" t="str">
        <f t="shared" si="4"/>
        <v/>
      </c>
      <c r="I133" s="175" t="str">
        <f t="shared" si="5"/>
        <v/>
      </c>
      <c r="J133" s="65"/>
      <c r="K133" s="64"/>
    </row>
    <row r="134" spans="1:11" x14ac:dyDescent="0.25">
      <c r="A134" s="64"/>
      <c r="B134" s="64"/>
      <c r="C134" s="64"/>
      <c r="D134" s="64"/>
      <c r="E134" s="64"/>
      <c r="F134" s="64"/>
      <c r="G134" s="66"/>
      <c r="H134" s="69" t="str">
        <f t="shared" si="4"/>
        <v/>
      </c>
      <c r="I134" s="175" t="str">
        <f t="shared" si="5"/>
        <v/>
      </c>
      <c r="J134" s="65"/>
      <c r="K134" s="64"/>
    </row>
    <row r="135" spans="1:11" x14ac:dyDescent="0.25">
      <c r="A135" s="64"/>
      <c r="B135" s="64"/>
      <c r="C135" s="64"/>
      <c r="D135" s="64"/>
      <c r="E135" s="64"/>
      <c r="F135" s="64"/>
      <c r="G135" s="66"/>
      <c r="H135" s="69" t="str">
        <f t="shared" si="4"/>
        <v/>
      </c>
      <c r="I135" s="175" t="str">
        <f t="shared" si="5"/>
        <v/>
      </c>
      <c r="J135" s="65"/>
      <c r="K135" s="64"/>
    </row>
    <row r="136" spans="1:11" x14ac:dyDescent="0.25">
      <c r="A136" s="64"/>
      <c r="B136" s="64"/>
      <c r="C136" s="64"/>
      <c r="D136" s="64"/>
      <c r="E136" s="64"/>
      <c r="F136" s="64"/>
      <c r="G136" s="66"/>
      <c r="H136" s="69" t="str">
        <f t="shared" si="4"/>
        <v/>
      </c>
      <c r="I136" s="175" t="str">
        <f t="shared" si="5"/>
        <v/>
      </c>
      <c r="J136" s="65"/>
      <c r="K136" s="64"/>
    </row>
    <row r="137" spans="1:11" x14ac:dyDescent="0.25">
      <c r="A137" s="64"/>
      <c r="B137" s="64"/>
      <c r="C137" s="64"/>
      <c r="D137" s="64"/>
      <c r="E137" s="64"/>
      <c r="F137" s="64"/>
      <c r="G137" s="66"/>
      <c r="H137" s="69" t="str">
        <f t="shared" si="4"/>
        <v/>
      </c>
      <c r="I137" s="175" t="str">
        <f t="shared" si="5"/>
        <v/>
      </c>
      <c r="J137" s="65"/>
      <c r="K137" s="64"/>
    </row>
    <row r="138" spans="1:11" x14ac:dyDescent="0.25">
      <c r="A138" s="64"/>
      <c r="B138" s="64"/>
      <c r="C138" s="64"/>
      <c r="D138" s="64"/>
      <c r="E138" s="64"/>
      <c r="F138" s="64"/>
      <c r="G138" s="66"/>
      <c r="H138" s="69" t="str">
        <f t="shared" si="4"/>
        <v/>
      </c>
      <c r="I138" s="175" t="str">
        <f t="shared" si="5"/>
        <v/>
      </c>
      <c r="J138" s="65"/>
      <c r="K138" s="64"/>
    </row>
    <row r="139" spans="1:11" x14ac:dyDescent="0.25">
      <c r="A139" s="64"/>
      <c r="B139" s="64"/>
      <c r="C139" s="64"/>
      <c r="D139" s="64"/>
      <c r="E139" s="64"/>
      <c r="F139" s="64"/>
      <c r="G139" s="66"/>
      <c r="H139" s="69" t="str">
        <f t="shared" si="4"/>
        <v/>
      </c>
      <c r="I139" s="175" t="str">
        <f t="shared" si="5"/>
        <v/>
      </c>
      <c r="J139" s="65"/>
      <c r="K139" s="64"/>
    </row>
    <row r="140" spans="1:11" x14ac:dyDescent="0.25">
      <c r="A140" s="64"/>
      <c r="B140" s="64"/>
      <c r="C140" s="64"/>
      <c r="D140" s="64"/>
      <c r="E140" s="64"/>
      <c r="F140" s="64"/>
      <c r="G140" s="66"/>
      <c r="H140" s="69" t="str">
        <f t="shared" si="4"/>
        <v/>
      </c>
      <c r="I140" s="175" t="str">
        <f t="shared" si="5"/>
        <v/>
      </c>
      <c r="J140" s="65"/>
      <c r="K140" s="64"/>
    </row>
    <row r="141" spans="1:11" x14ac:dyDescent="0.25">
      <c r="A141" s="64"/>
      <c r="B141" s="64"/>
      <c r="C141" s="64"/>
      <c r="D141" s="64"/>
      <c r="E141" s="64"/>
      <c r="F141" s="64"/>
      <c r="G141" s="66"/>
      <c r="H141" s="69" t="str">
        <f t="shared" si="4"/>
        <v/>
      </c>
      <c r="I141" s="175" t="str">
        <f t="shared" si="5"/>
        <v/>
      </c>
      <c r="J141" s="65"/>
      <c r="K141" s="64"/>
    </row>
    <row r="142" spans="1:11" x14ac:dyDescent="0.25">
      <c r="A142" s="64"/>
      <c r="B142" s="64"/>
      <c r="C142" s="64"/>
      <c r="D142" s="64"/>
      <c r="E142" s="64"/>
      <c r="F142" s="64"/>
      <c r="G142" s="66"/>
      <c r="H142" s="69" t="str">
        <f t="shared" si="4"/>
        <v/>
      </c>
      <c r="I142" s="175" t="str">
        <f t="shared" si="5"/>
        <v/>
      </c>
      <c r="J142" s="65"/>
      <c r="K142" s="64"/>
    </row>
    <row r="143" spans="1:11" x14ac:dyDescent="0.25">
      <c r="A143" s="64"/>
      <c r="B143" s="64"/>
      <c r="C143" s="64"/>
      <c r="D143" s="64"/>
      <c r="E143" s="64"/>
      <c r="F143" s="64"/>
      <c r="G143" s="66"/>
      <c r="H143" s="69" t="str">
        <f t="shared" si="4"/>
        <v/>
      </c>
      <c r="I143" s="175" t="str">
        <f t="shared" si="5"/>
        <v/>
      </c>
      <c r="J143" s="65"/>
      <c r="K143" s="64"/>
    </row>
    <row r="144" spans="1:11" x14ac:dyDescent="0.25">
      <c r="A144" s="64"/>
      <c r="B144" s="64"/>
      <c r="C144" s="64"/>
      <c r="D144" s="64"/>
      <c r="E144" s="64"/>
      <c r="F144" s="64"/>
      <c r="G144" s="66"/>
      <c r="H144" s="69" t="str">
        <f t="shared" si="4"/>
        <v/>
      </c>
      <c r="I144" s="175" t="str">
        <f t="shared" si="5"/>
        <v/>
      </c>
      <c r="J144" s="65"/>
      <c r="K144" s="64"/>
    </row>
    <row r="145" spans="1:11" x14ac:dyDescent="0.25">
      <c r="A145" s="64"/>
      <c r="B145" s="64"/>
      <c r="C145" s="64"/>
      <c r="D145" s="64"/>
      <c r="E145" s="64"/>
      <c r="F145" s="64"/>
      <c r="G145" s="66"/>
      <c r="H145" s="69" t="str">
        <f t="shared" si="4"/>
        <v/>
      </c>
      <c r="I145" s="175" t="str">
        <f t="shared" si="5"/>
        <v/>
      </c>
      <c r="J145" s="65"/>
      <c r="K145" s="64"/>
    </row>
    <row r="146" spans="1:11" x14ac:dyDescent="0.25">
      <c r="A146" s="64"/>
      <c r="B146" s="64"/>
      <c r="C146" s="64"/>
      <c r="D146" s="64"/>
      <c r="E146" s="64"/>
      <c r="F146" s="64"/>
      <c r="G146" s="66"/>
      <c r="H146" s="69" t="str">
        <f t="shared" si="4"/>
        <v/>
      </c>
      <c r="I146" s="175" t="str">
        <f t="shared" si="5"/>
        <v/>
      </c>
      <c r="J146" s="65"/>
      <c r="K146" s="64"/>
    </row>
    <row r="147" spans="1:11" x14ac:dyDescent="0.25">
      <c r="A147" s="64"/>
      <c r="B147" s="64"/>
      <c r="C147" s="64"/>
      <c r="D147" s="64"/>
      <c r="E147" s="64"/>
      <c r="F147" s="64"/>
      <c r="G147" s="66"/>
      <c r="H147" s="69" t="str">
        <f t="shared" si="4"/>
        <v/>
      </c>
      <c r="I147" s="175" t="str">
        <f t="shared" si="5"/>
        <v/>
      </c>
      <c r="J147" s="65"/>
      <c r="K147" s="64"/>
    </row>
    <row r="148" spans="1:11" x14ac:dyDescent="0.25">
      <c r="A148" s="64"/>
      <c r="B148" s="64"/>
      <c r="C148" s="64"/>
      <c r="D148" s="64"/>
      <c r="E148" s="64"/>
      <c r="F148" s="64"/>
      <c r="G148" s="66"/>
      <c r="H148" s="69" t="str">
        <f t="shared" si="4"/>
        <v/>
      </c>
      <c r="I148" s="175" t="str">
        <f t="shared" si="5"/>
        <v/>
      </c>
      <c r="J148" s="65"/>
      <c r="K148" s="64"/>
    </row>
    <row r="149" spans="1:11" x14ac:dyDescent="0.25">
      <c r="A149" s="64"/>
      <c r="B149" s="64"/>
      <c r="C149" s="64"/>
      <c r="D149" s="64"/>
      <c r="E149" s="64"/>
      <c r="F149" s="64"/>
      <c r="G149" s="66"/>
      <c r="H149" s="69" t="str">
        <f t="shared" si="4"/>
        <v/>
      </c>
      <c r="I149" s="175" t="str">
        <f t="shared" si="5"/>
        <v/>
      </c>
      <c r="J149" s="65"/>
      <c r="K149" s="64"/>
    </row>
    <row r="150" spans="1:11" x14ac:dyDescent="0.25">
      <c r="A150" s="64"/>
      <c r="B150" s="64"/>
      <c r="C150" s="64"/>
      <c r="D150" s="64"/>
      <c r="E150" s="64"/>
      <c r="F150" s="64"/>
      <c r="G150" s="66"/>
      <c r="H150" s="69" t="str">
        <f t="shared" si="4"/>
        <v/>
      </c>
      <c r="I150" s="175" t="str">
        <f t="shared" si="5"/>
        <v/>
      </c>
      <c r="J150" s="65"/>
      <c r="K150" s="64"/>
    </row>
    <row r="151" spans="1:11" x14ac:dyDescent="0.25">
      <c r="A151" s="64"/>
      <c r="B151" s="64"/>
      <c r="C151" s="64"/>
      <c r="D151" s="64"/>
      <c r="E151" s="64"/>
      <c r="F151" s="64"/>
      <c r="G151" s="66"/>
      <c r="H151" s="69" t="str">
        <f t="shared" si="4"/>
        <v/>
      </c>
      <c r="I151" s="175" t="str">
        <f t="shared" si="5"/>
        <v/>
      </c>
      <c r="J151" s="65"/>
      <c r="K151" s="64"/>
    </row>
    <row r="152" spans="1:11" x14ac:dyDescent="0.25">
      <c r="A152" s="64"/>
      <c r="B152" s="64"/>
      <c r="C152" s="64"/>
      <c r="D152" s="64"/>
      <c r="E152" s="64"/>
      <c r="F152" s="64"/>
      <c r="G152" s="66"/>
      <c r="H152" s="69" t="str">
        <f t="shared" si="4"/>
        <v/>
      </c>
      <c r="I152" s="175" t="str">
        <f t="shared" si="5"/>
        <v/>
      </c>
      <c r="J152" s="65"/>
      <c r="K152" s="64"/>
    </row>
    <row r="153" spans="1:11" x14ac:dyDescent="0.25">
      <c r="A153" s="64"/>
      <c r="B153" s="64"/>
      <c r="C153" s="64"/>
      <c r="D153" s="64"/>
      <c r="E153" s="64"/>
      <c r="F153" s="64"/>
      <c r="G153" s="66"/>
      <c r="H153" s="69" t="str">
        <f t="shared" si="4"/>
        <v/>
      </c>
      <c r="I153" s="175" t="str">
        <f t="shared" si="5"/>
        <v/>
      </c>
      <c r="J153" s="65"/>
      <c r="K153" s="64"/>
    </row>
    <row r="154" spans="1:11" x14ac:dyDescent="0.25">
      <c r="A154" s="64"/>
      <c r="B154" s="64"/>
      <c r="C154" s="64"/>
      <c r="D154" s="64"/>
      <c r="E154" s="64"/>
      <c r="F154" s="64"/>
      <c r="G154" s="66"/>
      <c r="H154" s="69" t="str">
        <f t="shared" si="4"/>
        <v/>
      </c>
      <c r="I154" s="175" t="str">
        <f t="shared" si="5"/>
        <v/>
      </c>
      <c r="J154" s="65"/>
      <c r="K154" s="64"/>
    </row>
    <row r="155" spans="1:11" x14ac:dyDescent="0.25">
      <c r="A155" s="64"/>
      <c r="B155" s="64"/>
      <c r="C155" s="64"/>
      <c r="D155" s="64"/>
      <c r="E155" s="64"/>
      <c r="F155" s="64"/>
      <c r="G155" s="66"/>
      <c r="H155" s="69" t="str">
        <f t="shared" si="4"/>
        <v/>
      </c>
      <c r="I155" s="175" t="str">
        <f t="shared" si="5"/>
        <v/>
      </c>
      <c r="J155" s="65"/>
      <c r="K155" s="64"/>
    </row>
    <row r="156" spans="1:11" x14ac:dyDescent="0.25">
      <c r="A156" s="64"/>
      <c r="B156" s="64"/>
      <c r="C156" s="64"/>
      <c r="D156" s="64"/>
      <c r="E156" s="64"/>
      <c r="F156" s="64"/>
      <c r="G156" s="66"/>
      <c r="H156" s="69" t="str">
        <f t="shared" si="4"/>
        <v/>
      </c>
      <c r="I156" s="175" t="str">
        <f t="shared" si="5"/>
        <v/>
      </c>
      <c r="J156" s="65"/>
      <c r="K156" s="64"/>
    </row>
    <row r="157" spans="1:11" x14ac:dyDescent="0.25">
      <c r="A157" s="64"/>
      <c r="B157" s="64"/>
      <c r="C157" s="64"/>
      <c r="D157" s="64"/>
      <c r="E157" s="64"/>
      <c r="F157" s="64"/>
      <c r="G157" s="66"/>
      <c r="H157" s="69" t="str">
        <f t="shared" si="4"/>
        <v/>
      </c>
      <c r="I157" s="175" t="str">
        <f t="shared" si="5"/>
        <v/>
      </c>
      <c r="J157" s="65"/>
      <c r="K157" s="64"/>
    </row>
    <row r="158" spans="1:11" x14ac:dyDescent="0.25">
      <c r="A158" s="64"/>
      <c r="B158" s="64"/>
      <c r="C158" s="64"/>
      <c r="D158" s="64"/>
      <c r="E158" s="64"/>
      <c r="F158" s="64"/>
      <c r="G158" s="66"/>
      <c r="H158" s="69" t="str">
        <f t="shared" si="4"/>
        <v/>
      </c>
      <c r="I158" s="175" t="str">
        <f t="shared" si="5"/>
        <v/>
      </c>
      <c r="J158" s="65"/>
      <c r="K158" s="64"/>
    </row>
    <row r="159" spans="1:11" x14ac:dyDescent="0.25">
      <c r="A159" s="64"/>
      <c r="B159" s="64"/>
      <c r="C159" s="64"/>
      <c r="D159" s="64"/>
      <c r="E159" s="64"/>
      <c r="F159" s="64"/>
      <c r="G159" s="66"/>
      <c r="H159" s="69" t="str">
        <f t="shared" si="4"/>
        <v/>
      </c>
      <c r="I159" s="175" t="str">
        <f t="shared" si="5"/>
        <v/>
      </c>
      <c r="J159" s="65"/>
      <c r="K159" s="64"/>
    </row>
    <row r="160" spans="1:11" x14ac:dyDescent="0.25">
      <c r="A160" s="64"/>
      <c r="B160" s="64"/>
      <c r="C160" s="64"/>
      <c r="D160" s="64"/>
      <c r="E160" s="64"/>
      <c r="F160" s="64"/>
      <c r="G160" s="66"/>
      <c r="H160" s="69" t="str">
        <f t="shared" si="4"/>
        <v/>
      </c>
      <c r="I160" s="175" t="str">
        <f t="shared" si="5"/>
        <v/>
      </c>
      <c r="J160" s="65"/>
      <c r="K160" s="64"/>
    </row>
    <row r="161" spans="1:11" x14ac:dyDescent="0.25">
      <c r="A161" s="64"/>
      <c r="B161" s="64"/>
      <c r="C161" s="64"/>
      <c r="D161" s="64"/>
      <c r="E161" s="64"/>
      <c r="F161" s="64"/>
      <c r="G161" s="66"/>
      <c r="H161" s="69" t="str">
        <f t="shared" si="4"/>
        <v/>
      </c>
      <c r="I161" s="175" t="str">
        <f t="shared" si="5"/>
        <v/>
      </c>
      <c r="J161" s="65"/>
      <c r="K161" s="64"/>
    </row>
    <row r="162" spans="1:11" x14ac:dyDescent="0.25">
      <c r="A162" s="64"/>
      <c r="B162" s="64"/>
      <c r="C162" s="64"/>
      <c r="D162" s="64"/>
      <c r="E162" s="64"/>
      <c r="F162" s="64"/>
      <c r="G162" s="66"/>
      <c r="H162" s="69" t="str">
        <f t="shared" si="4"/>
        <v/>
      </c>
      <c r="I162" s="175" t="str">
        <f t="shared" si="5"/>
        <v/>
      </c>
      <c r="J162" s="65"/>
      <c r="K162" s="64"/>
    </row>
    <row r="163" spans="1:11" x14ac:dyDescent="0.25">
      <c r="A163" s="64"/>
      <c r="B163" s="64"/>
      <c r="C163" s="64"/>
      <c r="D163" s="64"/>
      <c r="E163" s="64"/>
      <c r="F163" s="64"/>
      <c r="G163" s="66"/>
      <c r="H163" s="69" t="str">
        <f t="shared" si="4"/>
        <v/>
      </c>
      <c r="I163" s="175" t="str">
        <f t="shared" si="5"/>
        <v/>
      </c>
      <c r="J163" s="65"/>
      <c r="K163" s="64"/>
    </row>
    <row r="164" spans="1:11" x14ac:dyDescent="0.25">
      <c r="A164" s="64"/>
      <c r="B164" s="64"/>
      <c r="C164" s="64"/>
      <c r="D164" s="64"/>
      <c r="E164" s="64"/>
      <c r="F164" s="64"/>
      <c r="G164" s="66"/>
      <c r="H164" s="69" t="str">
        <f t="shared" si="4"/>
        <v/>
      </c>
      <c r="I164" s="175" t="str">
        <f t="shared" si="5"/>
        <v/>
      </c>
      <c r="J164" s="65"/>
      <c r="K164" s="64"/>
    </row>
    <row r="165" spans="1:11" x14ac:dyDescent="0.25">
      <c r="A165" s="64"/>
      <c r="B165" s="64"/>
      <c r="C165" s="64"/>
      <c r="D165" s="64"/>
      <c r="E165" s="64"/>
      <c r="F165" s="64"/>
      <c r="G165" s="66"/>
      <c r="H165" s="69" t="str">
        <f t="shared" si="4"/>
        <v/>
      </c>
      <c r="I165" s="175" t="str">
        <f t="shared" si="5"/>
        <v/>
      </c>
      <c r="J165" s="65"/>
      <c r="K165" s="64"/>
    </row>
    <row r="166" spans="1:11" x14ac:dyDescent="0.25">
      <c r="A166" s="64"/>
      <c r="B166" s="64"/>
      <c r="C166" s="64"/>
      <c r="D166" s="64"/>
      <c r="E166" s="64"/>
      <c r="F166" s="64"/>
      <c r="G166" s="66"/>
      <c r="H166" s="69" t="str">
        <f t="shared" si="4"/>
        <v/>
      </c>
      <c r="I166" s="175" t="str">
        <f t="shared" si="5"/>
        <v/>
      </c>
      <c r="J166" s="65"/>
      <c r="K166" s="64"/>
    </row>
    <row r="167" spans="1:11" x14ac:dyDescent="0.25">
      <c r="A167" s="64"/>
      <c r="B167" s="64"/>
      <c r="C167" s="64"/>
      <c r="D167" s="64"/>
      <c r="E167" s="64"/>
      <c r="F167" s="64"/>
      <c r="G167" s="66"/>
      <c r="H167" s="69" t="str">
        <f t="shared" si="4"/>
        <v/>
      </c>
      <c r="I167" s="175" t="str">
        <f t="shared" si="5"/>
        <v/>
      </c>
      <c r="J167" s="65"/>
      <c r="K167" s="64"/>
    </row>
    <row r="168" spans="1:11" x14ac:dyDescent="0.25">
      <c r="A168" s="64"/>
      <c r="B168" s="64"/>
      <c r="C168" s="64"/>
      <c r="D168" s="64"/>
      <c r="E168" s="64"/>
      <c r="F168" s="64"/>
      <c r="G168" s="66"/>
      <c r="H168" s="69" t="str">
        <f t="shared" si="4"/>
        <v/>
      </c>
      <c r="I168" s="175" t="str">
        <f t="shared" si="5"/>
        <v/>
      </c>
      <c r="J168" s="65"/>
      <c r="K168" s="64"/>
    </row>
    <row r="169" spans="1:11" x14ac:dyDescent="0.25">
      <c r="A169" s="64"/>
      <c r="B169" s="64"/>
      <c r="C169" s="64"/>
      <c r="D169" s="64"/>
      <c r="E169" s="64"/>
      <c r="F169" s="64"/>
      <c r="G169" s="66"/>
      <c r="H169" s="69" t="str">
        <f t="shared" si="4"/>
        <v/>
      </c>
      <c r="I169" s="175" t="str">
        <f t="shared" si="5"/>
        <v/>
      </c>
      <c r="J169" s="65"/>
      <c r="K169" s="64"/>
    </row>
    <row r="170" spans="1:11" x14ac:dyDescent="0.25">
      <c r="A170" s="64"/>
      <c r="B170" s="64"/>
      <c r="C170" s="64"/>
      <c r="D170" s="64"/>
      <c r="E170" s="64"/>
      <c r="F170" s="64"/>
      <c r="G170" s="66"/>
      <c r="H170" s="69" t="str">
        <f t="shared" si="4"/>
        <v/>
      </c>
      <c r="I170" s="175" t="str">
        <f t="shared" si="5"/>
        <v/>
      </c>
      <c r="J170" s="65"/>
      <c r="K170" s="64"/>
    </row>
    <row r="171" spans="1:11" x14ac:dyDescent="0.25">
      <c r="A171" s="64"/>
      <c r="B171" s="64"/>
      <c r="C171" s="64"/>
      <c r="D171" s="64"/>
      <c r="E171" s="64"/>
      <c r="F171" s="64"/>
      <c r="G171" s="66"/>
      <c r="H171" s="69" t="str">
        <f t="shared" si="4"/>
        <v/>
      </c>
      <c r="I171" s="175" t="str">
        <f t="shared" si="5"/>
        <v/>
      </c>
      <c r="J171" s="65"/>
      <c r="K171" s="64"/>
    </row>
    <row r="172" spans="1:11" x14ac:dyDescent="0.25">
      <c r="A172" s="64"/>
      <c r="B172" s="64"/>
      <c r="C172" s="64"/>
      <c r="D172" s="64"/>
      <c r="E172" s="64"/>
      <c r="F172" s="64"/>
      <c r="G172" s="66"/>
      <c r="H172" s="69" t="str">
        <f t="shared" si="4"/>
        <v/>
      </c>
      <c r="I172" s="175" t="str">
        <f t="shared" si="5"/>
        <v/>
      </c>
      <c r="J172" s="65"/>
      <c r="K172" s="64"/>
    </row>
    <row r="173" spans="1:11" x14ac:dyDescent="0.25">
      <c r="A173" s="64"/>
      <c r="B173" s="64"/>
      <c r="C173" s="64"/>
      <c r="D173" s="64"/>
      <c r="E173" s="64"/>
      <c r="F173" s="64"/>
      <c r="G173" s="66"/>
      <c r="H173" s="69" t="str">
        <f t="shared" si="4"/>
        <v/>
      </c>
      <c r="I173" s="175" t="str">
        <f t="shared" si="5"/>
        <v/>
      </c>
      <c r="J173" s="65"/>
      <c r="K173" s="64"/>
    </row>
    <row r="174" spans="1:11" x14ac:dyDescent="0.25">
      <c r="A174" s="64"/>
      <c r="B174" s="64"/>
      <c r="C174" s="64"/>
      <c r="D174" s="64"/>
      <c r="E174" s="64"/>
      <c r="F174" s="64"/>
      <c r="G174" s="66"/>
      <c r="H174" s="69" t="str">
        <f t="shared" si="4"/>
        <v/>
      </c>
      <c r="I174" s="175" t="str">
        <f t="shared" si="5"/>
        <v/>
      </c>
      <c r="J174" s="65"/>
      <c r="K174" s="64"/>
    </row>
    <row r="175" spans="1:11" x14ac:dyDescent="0.25">
      <c r="A175" s="64"/>
      <c r="B175" s="64"/>
      <c r="C175" s="64"/>
      <c r="D175" s="64"/>
      <c r="E175" s="64"/>
      <c r="F175" s="64"/>
      <c r="G175" s="66"/>
      <c r="H175" s="69" t="str">
        <f t="shared" si="4"/>
        <v/>
      </c>
      <c r="I175" s="175" t="str">
        <f t="shared" si="5"/>
        <v/>
      </c>
      <c r="J175" s="65"/>
      <c r="K175" s="64"/>
    </row>
    <row r="176" spans="1:11" x14ac:dyDescent="0.25">
      <c r="A176" s="64"/>
      <c r="B176" s="64"/>
      <c r="C176" s="64"/>
      <c r="D176" s="64"/>
      <c r="E176" s="64"/>
      <c r="F176" s="64"/>
      <c r="G176" s="66"/>
      <c r="H176" s="69" t="str">
        <f t="shared" si="4"/>
        <v/>
      </c>
      <c r="I176" s="175" t="str">
        <f t="shared" si="5"/>
        <v/>
      </c>
      <c r="J176" s="65"/>
      <c r="K176" s="64"/>
    </row>
    <row r="177" spans="1:11" x14ac:dyDescent="0.25">
      <c r="A177" s="64"/>
      <c r="B177" s="64"/>
      <c r="C177" s="64"/>
      <c r="D177" s="64"/>
      <c r="E177" s="64"/>
      <c r="F177" s="64"/>
      <c r="G177" s="66"/>
      <c r="H177" s="69" t="str">
        <f t="shared" si="4"/>
        <v/>
      </c>
      <c r="I177" s="175" t="str">
        <f t="shared" si="5"/>
        <v/>
      </c>
      <c r="J177" s="65"/>
      <c r="K177" s="64"/>
    </row>
    <row r="178" spans="1:11" x14ac:dyDescent="0.25">
      <c r="A178" s="64"/>
      <c r="B178" s="64"/>
      <c r="C178" s="64"/>
      <c r="D178" s="64"/>
      <c r="E178" s="64"/>
      <c r="F178" s="64"/>
      <c r="G178" s="66"/>
      <c r="H178" s="69" t="str">
        <f t="shared" si="4"/>
        <v/>
      </c>
      <c r="I178" s="175" t="str">
        <f t="shared" si="5"/>
        <v/>
      </c>
      <c r="J178" s="65"/>
      <c r="K178" s="64"/>
    </row>
    <row r="179" spans="1:11" x14ac:dyDescent="0.25">
      <c r="A179" s="64"/>
      <c r="B179" s="64"/>
      <c r="C179" s="64"/>
      <c r="D179" s="64"/>
      <c r="E179" s="64"/>
      <c r="F179" s="64"/>
      <c r="G179" s="66"/>
      <c r="H179" s="69" t="str">
        <f t="shared" si="4"/>
        <v/>
      </c>
      <c r="I179" s="175" t="str">
        <f t="shared" si="5"/>
        <v/>
      </c>
      <c r="J179" s="65"/>
      <c r="K179" s="64"/>
    </row>
    <row r="180" spans="1:11" x14ac:dyDescent="0.25">
      <c r="A180" s="64"/>
      <c r="B180" s="64"/>
      <c r="C180" s="64"/>
      <c r="D180" s="64"/>
      <c r="E180" s="64"/>
      <c r="F180" s="64"/>
      <c r="G180" s="66"/>
      <c r="H180" s="69" t="str">
        <f t="shared" si="4"/>
        <v/>
      </c>
      <c r="I180" s="175" t="str">
        <f t="shared" si="5"/>
        <v/>
      </c>
      <c r="J180" s="65"/>
      <c r="K180" s="64"/>
    </row>
    <row r="181" spans="1:11" x14ac:dyDescent="0.25">
      <c r="A181" s="64"/>
      <c r="B181" s="64"/>
      <c r="C181" s="64"/>
      <c r="D181" s="64"/>
      <c r="E181" s="64"/>
      <c r="F181" s="64"/>
      <c r="G181" s="66"/>
      <c r="H181" s="69" t="str">
        <f t="shared" si="4"/>
        <v/>
      </c>
      <c r="I181" s="175" t="str">
        <f t="shared" si="5"/>
        <v/>
      </c>
      <c r="J181" s="65"/>
      <c r="K181" s="64"/>
    </row>
    <row r="182" spans="1:11" x14ac:dyDescent="0.25">
      <c r="A182" s="64"/>
      <c r="B182" s="64"/>
      <c r="C182" s="64"/>
      <c r="D182" s="64"/>
      <c r="E182" s="64"/>
      <c r="F182" s="64"/>
      <c r="G182" s="66"/>
      <c r="H182" s="69" t="str">
        <f t="shared" si="4"/>
        <v/>
      </c>
      <c r="I182" s="175" t="str">
        <f t="shared" si="5"/>
        <v/>
      </c>
      <c r="J182" s="65"/>
      <c r="K182" s="64"/>
    </row>
    <row r="183" spans="1:11" x14ac:dyDescent="0.25">
      <c r="A183" s="64"/>
      <c r="B183" s="64"/>
      <c r="C183" s="64"/>
      <c r="D183" s="64"/>
      <c r="E183" s="64"/>
      <c r="F183" s="64"/>
      <c r="G183" s="66"/>
      <c r="H183" s="69" t="str">
        <f t="shared" si="4"/>
        <v/>
      </c>
      <c r="I183" s="175" t="str">
        <f t="shared" si="5"/>
        <v/>
      </c>
      <c r="J183" s="65"/>
      <c r="K183" s="64"/>
    </row>
    <row r="184" spans="1:11" x14ac:dyDescent="0.25">
      <c r="A184" s="64"/>
      <c r="B184" s="64"/>
      <c r="C184" s="64"/>
      <c r="D184" s="64"/>
      <c r="E184" s="64"/>
      <c r="F184" s="64"/>
      <c r="G184" s="66"/>
      <c r="H184" s="69" t="str">
        <f t="shared" si="4"/>
        <v/>
      </c>
      <c r="I184" s="175" t="str">
        <f t="shared" si="5"/>
        <v/>
      </c>
      <c r="J184" s="65"/>
      <c r="K184" s="64"/>
    </row>
    <row r="185" spans="1:11" x14ac:dyDescent="0.25">
      <c r="A185" s="64"/>
      <c r="B185" s="64"/>
      <c r="C185" s="64"/>
      <c r="D185" s="64"/>
      <c r="E185" s="64"/>
      <c r="F185" s="64"/>
      <c r="G185" s="66"/>
      <c r="H185" s="69" t="str">
        <f t="shared" si="4"/>
        <v/>
      </c>
      <c r="I185" s="175" t="str">
        <f t="shared" si="5"/>
        <v/>
      </c>
      <c r="J185" s="65"/>
      <c r="K185" s="64"/>
    </row>
    <row r="186" spans="1:11" x14ac:dyDescent="0.25">
      <c r="A186" s="64"/>
      <c r="B186" s="64"/>
      <c r="C186" s="64"/>
      <c r="D186" s="64"/>
      <c r="E186" s="64"/>
      <c r="F186" s="64"/>
      <c r="G186" s="66"/>
      <c r="H186" s="69" t="str">
        <f t="shared" si="4"/>
        <v/>
      </c>
      <c r="I186" s="175" t="str">
        <f t="shared" si="5"/>
        <v/>
      </c>
      <c r="J186" s="65"/>
      <c r="K186" s="64"/>
    </row>
    <row r="187" spans="1:11" x14ac:dyDescent="0.25">
      <c r="A187" s="64"/>
      <c r="B187" s="64"/>
      <c r="C187" s="64"/>
      <c r="D187" s="64"/>
      <c r="E187" s="64"/>
      <c r="F187" s="64"/>
      <c r="G187" s="66"/>
      <c r="H187" s="69" t="str">
        <f t="shared" si="4"/>
        <v/>
      </c>
      <c r="I187" s="175" t="str">
        <f t="shared" si="5"/>
        <v/>
      </c>
      <c r="J187" s="65"/>
      <c r="K187" s="64"/>
    </row>
    <row r="188" spans="1:11" x14ac:dyDescent="0.25">
      <c r="A188" s="64"/>
      <c r="B188" s="64"/>
      <c r="C188" s="64"/>
      <c r="D188" s="64"/>
      <c r="E188" s="64"/>
      <c r="F188" s="64"/>
      <c r="G188" s="66"/>
      <c r="H188" s="69" t="str">
        <f t="shared" si="4"/>
        <v/>
      </c>
      <c r="I188" s="175" t="str">
        <f t="shared" si="5"/>
        <v/>
      </c>
      <c r="J188" s="65"/>
      <c r="K188" s="64"/>
    </row>
    <row r="189" spans="1:11" x14ac:dyDescent="0.25">
      <c r="A189" s="64"/>
      <c r="B189" s="64"/>
      <c r="C189" s="64"/>
      <c r="D189" s="64"/>
      <c r="E189" s="64"/>
      <c r="F189" s="64"/>
      <c r="G189" s="66"/>
      <c r="H189" s="69" t="str">
        <f t="shared" si="4"/>
        <v/>
      </c>
      <c r="I189" s="175" t="str">
        <f t="shared" si="5"/>
        <v/>
      </c>
      <c r="J189" s="65"/>
      <c r="K189" s="64"/>
    </row>
    <row r="190" spans="1:11" x14ac:dyDescent="0.25">
      <c r="A190" s="64"/>
      <c r="B190" s="64"/>
      <c r="C190" s="64"/>
      <c r="D190" s="64"/>
      <c r="E190" s="64"/>
      <c r="F190" s="64"/>
      <c r="G190" s="66"/>
      <c r="H190" s="69" t="str">
        <f t="shared" si="4"/>
        <v/>
      </c>
      <c r="I190" s="175" t="str">
        <f t="shared" si="5"/>
        <v/>
      </c>
      <c r="J190" s="65"/>
      <c r="K190" s="64"/>
    </row>
    <row r="191" spans="1:11" x14ac:dyDescent="0.25">
      <c r="A191" s="64"/>
      <c r="B191" s="64"/>
      <c r="C191" s="64"/>
      <c r="D191" s="64"/>
      <c r="E191" s="64"/>
      <c r="F191" s="64"/>
      <c r="G191" s="66"/>
      <c r="H191" s="69" t="str">
        <f t="shared" si="4"/>
        <v/>
      </c>
      <c r="I191" s="175" t="str">
        <f t="shared" si="5"/>
        <v/>
      </c>
      <c r="J191" s="65"/>
      <c r="K191" s="64"/>
    </row>
    <row r="192" spans="1:11" x14ac:dyDescent="0.25">
      <c r="A192" s="64"/>
      <c r="B192" s="64"/>
      <c r="C192" s="64"/>
      <c r="D192" s="64"/>
      <c r="E192" s="64"/>
      <c r="F192" s="64"/>
      <c r="G192" s="66"/>
      <c r="H192" s="69" t="str">
        <f t="shared" si="4"/>
        <v/>
      </c>
      <c r="I192" s="175" t="str">
        <f t="shared" si="5"/>
        <v/>
      </c>
      <c r="J192" s="65"/>
      <c r="K192" s="64"/>
    </row>
    <row r="193" spans="1:11" x14ac:dyDescent="0.25">
      <c r="A193" s="64"/>
      <c r="B193" s="64"/>
      <c r="C193" s="64"/>
      <c r="D193" s="64"/>
      <c r="E193" s="64"/>
      <c r="F193" s="64"/>
      <c r="G193" s="66"/>
      <c r="H193" s="69" t="str">
        <f t="shared" si="4"/>
        <v/>
      </c>
      <c r="I193" s="175" t="str">
        <f t="shared" si="5"/>
        <v/>
      </c>
      <c r="J193" s="65"/>
      <c r="K193" s="64"/>
    </row>
    <row r="194" spans="1:11" x14ac:dyDescent="0.25">
      <c r="A194" s="64"/>
      <c r="B194" s="64"/>
      <c r="C194" s="64"/>
      <c r="D194" s="64"/>
      <c r="E194" s="64"/>
      <c r="F194" s="64"/>
      <c r="G194" s="66"/>
      <c r="H194" s="69" t="str">
        <f t="shared" si="4"/>
        <v/>
      </c>
      <c r="I194" s="175" t="str">
        <f t="shared" si="5"/>
        <v/>
      </c>
      <c r="J194" s="65"/>
      <c r="K194" s="64"/>
    </row>
    <row r="195" spans="1:11" x14ac:dyDescent="0.25">
      <c r="A195" s="64"/>
      <c r="B195" s="64"/>
      <c r="C195" s="64"/>
      <c r="D195" s="64"/>
      <c r="E195" s="64"/>
      <c r="F195" s="64"/>
      <c r="G195" s="66"/>
      <c r="H195" s="69" t="str">
        <f t="shared" ref="H195:H258" si="6">IFERROR(IF(OR(E195="",G195=""),"",E195*G195),"")</f>
        <v/>
      </c>
      <c r="I195" s="175" t="str">
        <f t="shared" ref="I195:I258" si="7">IF(A195="","",IF(E195="","",IF(E195&lt;=F195*0.5,"Critical",IF(E195&lt;=F195,"Reorder","OK"))))</f>
        <v/>
      </c>
      <c r="J195" s="65"/>
      <c r="K195" s="64"/>
    </row>
    <row r="196" spans="1:11" x14ac:dyDescent="0.25">
      <c r="A196" s="64"/>
      <c r="B196" s="64"/>
      <c r="C196" s="64"/>
      <c r="D196" s="64"/>
      <c r="E196" s="64"/>
      <c r="F196" s="64"/>
      <c r="G196" s="66"/>
      <c r="H196" s="69" t="str">
        <f t="shared" si="6"/>
        <v/>
      </c>
      <c r="I196" s="175" t="str">
        <f t="shared" si="7"/>
        <v/>
      </c>
      <c r="J196" s="65"/>
      <c r="K196" s="64"/>
    </row>
    <row r="197" spans="1:11" x14ac:dyDescent="0.25">
      <c r="A197" s="64"/>
      <c r="B197" s="64"/>
      <c r="C197" s="64"/>
      <c r="D197" s="64"/>
      <c r="E197" s="64"/>
      <c r="F197" s="64"/>
      <c r="G197" s="66"/>
      <c r="H197" s="69" t="str">
        <f t="shared" si="6"/>
        <v/>
      </c>
      <c r="I197" s="175" t="str">
        <f t="shared" si="7"/>
        <v/>
      </c>
      <c r="J197" s="65"/>
      <c r="K197" s="64"/>
    </row>
    <row r="198" spans="1:11" x14ac:dyDescent="0.25">
      <c r="A198" s="64"/>
      <c r="B198" s="64"/>
      <c r="C198" s="64"/>
      <c r="D198" s="64"/>
      <c r="E198" s="64"/>
      <c r="F198" s="64"/>
      <c r="G198" s="66"/>
      <c r="H198" s="69" t="str">
        <f t="shared" si="6"/>
        <v/>
      </c>
      <c r="I198" s="175" t="str">
        <f t="shared" si="7"/>
        <v/>
      </c>
      <c r="J198" s="65"/>
      <c r="K198" s="64"/>
    </row>
    <row r="199" spans="1:11" x14ac:dyDescent="0.25">
      <c r="A199" s="64"/>
      <c r="B199" s="64"/>
      <c r="C199" s="64"/>
      <c r="D199" s="64"/>
      <c r="E199" s="64"/>
      <c r="F199" s="64"/>
      <c r="G199" s="66"/>
      <c r="H199" s="69" t="str">
        <f t="shared" si="6"/>
        <v/>
      </c>
      <c r="I199" s="175" t="str">
        <f t="shared" si="7"/>
        <v/>
      </c>
      <c r="J199" s="65"/>
      <c r="K199" s="64"/>
    </row>
    <row r="200" spans="1:11" x14ac:dyDescent="0.25">
      <c r="A200" s="64"/>
      <c r="B200" s="64"/>
      <c r="C200" s="64"/>
      <c r="D200" s="64"/>
      <c r="E200" s="64"/>
      <c r="F200" s="64"/>
      <c r="G200" s="66"/>
      <c r="H200" s="69" t="str">
        <f t="shared" si="6"/>
        <v/>
      </c>
      <c r="I200" s="175" t="str">
        <f t="shared" si="7"/>
        <v/>
      </c>
      <c r="J200" s="65"/>
      <c r="K200" s="64"/>
    </row>
    <row r="201" spans="1:11" x14ac:dyDescent="0.25">
      <c r="A201" s="64"/>
      <c r="B201" s="64"/>
      <c r="C201" s="64"/>
      <c r="D201" s="64"/>
      <c r="E201" s="64"/>
      <c r="F201" s="64"/>
      <c r="G201" s="66"/>
      <c r="H201" s="69" t="str">
        <f t="shared" si="6"/>
        <v/>
      </c>
      <c r="I201" s="175" t="str">
        <f t="shared" si="7"/>
        <v/>
      </c>
      <c r="J201" s="65"/>
      <c r="K201" s="64"/>
    </row>
    <row r="202" spans="1:11" x14ac:dyDescent="0.25">
      <c r="A202" s="64"/>
      <c r="B202" s="64"/>
      <c r="C202" s="64"/>
      <c r="D202" s="64"/>
      <c r="E202" s="64"/>
      <c r="F202" s="64"/>
      <c r="G202" s="66"/>
      <c r="H202" s="69" t="str">
        <f t="shared" si="6"/>
        <v/>
      </c>
      <c r="I202" s="175" t="str">
        <f t="shared" si="7"/>
        <v/>
      </c>
      <c r="J202" s="65"/>
      <c r="K202" s="64"/>
    </row>
    <row r="203" spans="1:11" x14ac:dyDescent="0.25">
      <c r="A203" s="64"/>
      <c r="B203" s="64"/>
      <c r="C203" s="64"/>
      <c r="D203" s="64"/>
      <c r="E203" s="64"/>
      <c r="F203" s="64"/>
      <c r="G203" s="66"/>
      <c r="H203" s="69" t="str">
        <f t="shared" si="6"/>
        <v/>
      </c>
      <c r="I203" s="175" t="str">
        <f t="shared" si="7"/>
        <v/>
      </c>
      <c r="J203" s="65"/>
      <c r="K203" s="64"/>
    </row>
    <row r="204" spans="1:11" x14ac:dyDescent="0.25">
      <c r="A204" s="64"/>
      <c r="B204" s="64"/>
      <c r="C204" s="64"/>
      <c r="D204" s="64"/>
      <c r="E204" s="64"/>
      <c r="F204" s="64"/>
      <c r="G204" s="66"/>
      <c r="H204" s="69" t="str">
        <f t="shared" si="6"/>
        <v/>
      </c>
      <c r="I204" s="175" t="str">
        <f t="shared" si="7"/>
        <v/>
      </c>
      <c r="J204" s="65"/>
      <c r="K204" s="64"/>
    </row>
    <row r="205" spans="1:11" x14ac:dyDescent="0.25">
      <c r="A205" s="64"/>
      <c r="B205" s="64"/>
      <c r="C205" s="64"/>
      <c r="D205" s="64"/>
      <c r="E205" s="64"/>
      <c r="F205" s="64"/>
      <c r="G205" s="66"/>
      <c r="H205" s="69" t="str">
        <f t="shared" si="6"/>
        <v/>
      </c>
      <c r="I205" s="175" t="str">
        <f t="shared" si="7"/>
        <v/>
      </c>
      <c r="J205" s="65"/>
      <c r="K205" s="64"/>
    </row>
    <row r="206" spans="1:11" x14ac:dyDescent="0.25">
      <c r="A206" s="64"/>
      <c r="B206" s="64"/>
      <c r="C206" s="64"/>
      <c r="D206" s="64"/>
      <c r="E206" s="64"/>
      <c r="F206" s="64"/>
      <c r="G206" s="66"/>
      <c r="H206" s="69" t="str">
        <f t="shared" si="6"/>
        <v/>
      </c>
      <c r="I206" s="175" t="str">
        <f t="shared" si="7"/>
        <v/>
      </c>
      <c r="J206" s="65"/>
      <c r="K206" s="64"/>
    </row>
    <row r="207" spans="1:11" x14ac:dyDescent="0.25">
      <c r="A207" s="64"/>
      <c r="B207" s="64"/>
      <c r="C207" s="64"/>
      <c r="D207" s="64"/>
      <c r="E207" s="64"/>
      <c r="F207" s="64"/>
      <c r="G207" s="66"/>
      <c r="H207" s="69" t="str">
        <f t="shared" si="6"/>
        <v/>
      </c>
      <c r="I207" s="175" t="str">
        <f t="shared" si="7"/>
        <v/>
      </c>
      <c r="J207" s="65"/>
      <c r="K207" s="64"/>
    </row>
    <row r="208" spans="1:11" x14ac:dyDescent="0.25">
      <c r="A208" s="64"/>
      <c r="B208" s="64"/>
      <c r="C208" s="64"/>
      <c r="D208" s="64"/>
      <c r="E208" s="64"/>
      <c r="F208" s="64"/>
      <c r="G208" s="66"/>
      <c r="H208" s="69" t="str">
        <f t="shared" si="6"/>
        <v/>
      </c>
      <c r="I208" s="175" t="str">
        <f t="shared" si="7"/>
        <v/>
      </c>
      <c r="J208" s="65"/>
      <c r="K208" s="64"/>
    </row>
    <row r="209" spans="1:11" x14ac:dyDescent="0.25">
      <c r="A209" s="64"/>
      <c r="B209" s="64"/>
      <c r="C209" s="64"/>
      <c r="D209" s="64"/>
      <c r="E209" s="64"/>
      <c r="F209" s="64"/>
      <c r="G209" s="66"/>
      <c r="H209" s="69" t="str">
        <f t="shared" si="6"/>
        <v/>
      </c>
      <c r="I209" s="175" t="str">
        <f t="shared" si="7"/>
        <v/>
      </c>
      <c r="J209" s="65"/>
      <c r="K209" s="64"/>
    </row>
    <row r="210" spans="1:11" x14ac:dyDescent="0.25">
      <c r="A210" s="64"/>
      <c r="B210" s="64"/>
      <c r="C210" s="64"/>
      <c r="D210" s="64"/>
      <c r="E210" s="64"/>
      <c r="F210" s="64"/>
      <c r="G210" s="66"/>
      <c r="H210" s="69" t="str">
        <f t="shared" si="6"/>
        <v/>
      </c>
      <c r="I210" s="175" t="str">
        <f t="shared" si="7"/>
        <v/>
      </c>
      <c r="J210" s="65"/>
      <c r="K210" s="64"/>
    </row>
    <row r="211" spans="1:11" x14ac:dyDescent="0.25">
      <c r="A211" s="64"/>
      <c r="B211" s="64"/>
      <c r="C211" s="64"/>
      <c r="D211" s="64"/>
      <c r="E211" s="64"/>
      <c r="F211" s="64"/>
      <c r="G211" s="66"/>
      <c r="H211" s="69" t="str">
        <f t="shared" si="6"/>
        <v/>
      </c>
      <c r="I211" s="175" t="str">
        <f t="shared" si="7"/>
        <v/>
      </c>
      <c r="J211" s="65"/>
      <c r="K211" s="64"/>
    </row>
    <row r="212" spans="1:11" x14ac:dyDescent="0.25">
      <c r="A212" s="64"/>
      <c r="B212" s="64"/>
      <c r="C212" s="64"/>
      <c r="D212" s="64"/>
      <c r="E212" s="64"/>
      <c r="F212" s="64"/>
      <c r="G212" s="66"/>
      <c r="H212" s="69" t="str">
        <f t="shared" si="6"/>
        <v/>
      </c>
      <c r="I212" s="175" t="str">
        <f t="shared" si="7"/>
        <v/>
      </c>
      <c r="J212" s="65"/>
      <c r="K212" s="64"/>
    </row>
    <row r="213" spans="1:11" x14ac:dyDescent="0.25">
      <c r="A213" s="64"/>
      <c r="B213" s="64"/>
      <c r="C213" s="64"/>
      <c r="D213" s="64"/>
      <c r="E213" s="64"/>
      <c r="F213" s="64"/>
      <c r="G213" s="66"/>
      <c r="H213" s="69" t="str">
        <f t="shared" si="6"/>
        <v/>
      </c>
      <c r="I213" s="175" t="str">
        <f t="shared" si="7"/>
        <v/>
      </c>
      <c r="J213" s="65"/>
      <c r="K213" s="64"/>
    </row>
    <row r="214" spans="1:11" x14ac:dyDescent="0.25">
      <c r="A214" s="64"/>
      <c r="B214" s="64"/>
      <c r="C214" s="64"/>
      <c r="D214" s="64"/>
      <c r="E214" s="64"/>
      <c r="F214" s="64"/>
      <c r="G214" s="66"/>
      <c r="H214" s="69" t="str">
        <f t="shared" si="6"/>
        <v/>
      </c>
      <c r="I214" s="175" t="str">
        <f t="shared" si="7"/>
        <v/>
      </c>
      <c r="J214" s="65"/>
      <c r="K214" s="64"/>
    </row>
    <row r="215" spans="1:11" x14ac:dyDescent="0.25">
      <c r="A215" s="64"/>
      <c r="B215" s="64"/>
      <c r="C215" s="64"/>
      <c r="D215" s="64"/>
      <c r="E215" s="64"/>
      <c r="F215" s="64"/>
      <c r="G215" s="66"/>
      <c r="H215" s="69" t="str">
        <f t="shared" si="6"/>
        <v/>
      </c>
      <c r="I215" s="175" t="str">
        <f t="shared" si="7"/>
        <v/>
      </c>
      <c r="J215" s="65"/>
      <c r="K215" s="64"/>
    </row>
    <row r="216" spans="1:11" x14ac:dyDescent="0.25">
      <c r="A216" s="64"/>
      <c r="B216" s="64"/>
      <c r="C216" s="64"/>
      <c r="D216" s="64"/>
      <c r="E216" s="64"/>
      <c r="F216" s="64"/>
      <c r="G216" s="66"/>
      <c r="H216" s="69" t="str">
        <f t="shared" si="6"/>
        <v/>
      </c>
      <c r="I216" s="175" t="str">
        <f t="shared" si="7"/>
        <v/>
      </c>
      <c r="J216" s="65"/>
      <c r="K216" s="64"/>
    </row>
    <row r="217" spans="1:11" x14ac:dyDescent="0.25">
      <c r="A217" s="64"/>
      <c r="B217" s="64"/>
      <c r="C217" s="64"/>
      <c r="D217" s="64"/>
      <c r="E217" s="64"/>
      <c r="F217" s="64"/>
      <c r="G217" s="66"/>
      <c r="H217" s="69" t="str">
        <f t="shared" si="6"/>
        <v/>
      </c>
      <c r="I217" s="175" t="str">
        <f t="shared" si="7"/>
        <v/>
      </c>
      <c r="J217" s="65"/>
      <c r="K217" s="64"/>
    </row>
    <row r="218" spans="1:11" x14ac:dyDescent="0.25">
      <c r="A218" s="64"/>
      <c r="B218" s="64"/>
      <c r="C218" s="64"/>
      <c r="D218" s="64"/>
      <c r="E218" s="64"/>
      <c r="F218" s="64"/>
      <c r="G218" s="66"/>
      <c r="H218" s="69" t="str">
        <f t="shared" si="6"/>
        <v/>
      </c>
      <c r="I218" s="175" t="str">
        <f t="shared" si="7"/>
        <v/>
      </c>
      <c r="J218" s="65"/>
      <c r="K218" s="64"/>
    </row>
    <row r="219" spans="1:11" x14ac:dyDescent="0.25">
      <c r="A219" s="64"/>
      <c r="B219" s="64"/>
      <c r="C219" s="64"/>
      <c r="D219" s="64"/>
      <c r="E219" s="64"/>
      <c r="F219" s="64"/>
      <c r="G219" s="66"/>
      <c r="H219" s="69" t="str">
        <f t="shared" si="6"/>
        <v/>
      </c>
      <c r="I219" s="175" t="str">
        <f t="shared" si="7"/>
        <v/>
      </c>
      <c r="J219" s="65"/>
      <c r="K219" s="64"/>
    </row>
    <row r="220" spans="1:11" x14ac:dyDescent="0.25">
      <c r="A220" s="64"/>
      <c r="B220" s="64"/>
      <c r="C220" s="64"/>
      <c r="D220" s="64"/>
      <c r="E220" s="64"/>
      <c r="F220" s="64"/>
      <c r="G220" s="66"/>
      <c r="H220" s="69" t="str">
        <f t="shared" si="6"/>
        <v/>
      </c>
      <c r="I220" s="175" t="str">
        <f t="shared" si="7"/>
        <v/>
      </c>
      <c r="J220" s="65"/>
      <c r="K220" s="64"/>
    </row>
    <row r="221" spans="1:11" x14ac:dyDescent="0.25">
      <c r="A221" s="64"/>
      <c r="B221" s="64"/>
      <c r="C221" s="64"/>
      <c r="D221" s="64"/>
      <c r="E221" s="64"/>
      <c r="F221" s="64"/>
      <c r="G221" s="66"/>
      <c r="H221" s="69" t="str">
        <f t="shared" si="6"/>
        <v/>
      </c>
      <c r="I221" s="175" t="str">
        <f t="shared" si="7"/>
        <v/>
      </c>
      <c r="J221" s="65"/>
      <c r="K221" s="64"/>
    </row>
    <row r="222" spans="1:11" x14ac:dyDescent="0.25">
      <c r="A222" s="64"/>
      <c r="B222" s="64"/>
      <c r="C222" s="64"/>
      <c r="D222" s="64"/>
      <c r="E222" s="64"/>
      <c r="F222" s="64"/>
      <c r="G222" s="66"/>
      <c r="H222" s="69" t="str">
        <f t="shared" si="6"/>
        <v/>
      </c>
      <c r="I222" s="175" t="str">
        <f t="shared" si="7"/>
        <v/>
      </c>
      <c r="J222" s="65"/>
      <c r="K222" s="64"/>
    </row>
    <row r="223" spans="1:11" x14ac:dyDescent="0.25">
      <c r="A223" s="64"/>
      <c r="B223" s="64"/>
      <c r="C223" s="64"/>
      <c r="D223" s="64"/>
      <c r="E223" s="64"/>
      <c r="F223" s="64"/>
      <c r="G223" s="66"/>
      <c r="H223" s="69" t="str">
        <f t="shared" si="6"/>
        <v/>
      </c>
      <c r="I223" s="175" t="str">
        <f t="shared" si="7"/>
        <v/>
      </c>
      <c r="J223" s="65"/>
      <c r="K223" s="64"/>
    </row>
    <row r="224" spans="1:11" x14ac:dyDescent="0.25">
      <c r="A224" s="64"/>
      <c r="B224" s="64"/>
      <c r="C224" s="64"/>
      <c r="D224" s="64"/>
      <c r="E224" s="64"/>
      <c r="F224" s="64"/>
      <c r="G224" s="66"/>
      <c r="H224" s="69" t="str">
        <f t="shared" si="6"/>
        <v/>
      </c>
      <c r="I224" s="175" t="str">
        <f t="shared" si="7"/>
        <v/>
      </c>
      <c r="J224" s="65"/>
      <c r="K224" s="64"/>
    </row>
    <row r="225" spans="1:11" x14ac:dyDescent="0.25">
      <c r="A225" s="64"/>
      <c r="B225" s="64"/>
      <c r="C225" s="64"/>
      <c r="D225" s="64"/>
      <c r="E225" s="64"/>
      <c r="F225" s="64"/>
      <c r="G225" s="66"/>
      <c r="H225" s="69" t="str">
        <f t="shared" si="6"/>
        <v/>
      </c>
      <c r="I225" s="175" t="str">
        <f t="shared" si="7"/>
        <v/>
      </c>
      <c r="J225" s="65"/>
      <c r="K225" s="64"/>
    </row>
    <row r="226" spans="1:11" x14ac:dyDescent="0.25">
      <c r="A226" s="64"/>
      <c r="B226" s="64"/>
      <c r="C226" s="64"/>
      <c r="D226" s="64"/>
      <c r="E226" s="64"/>
      <c r="F226" s="64"/>
      <c r="G226" s="66"/>
      <c r="H226" s="69" t="str">
        <f t="shared" si="6"/>
        <v/>
      </c>
      <c r="I226" s="175" t="str">
        <f t="shared" si="7"/>
        <v/>
      </c>
      <c r="J226" s="65"/>
      <c r="K226" s="64"/>
    </row>
    <row r="227" spans="1:11" x14ac:dyDescent="0.25">
      <c r="A227" s="64"/>
      <c r="B227" s="64"/>
      <c r="C227" s="64"/>
      <c r="D227" s="64"/>
      <c r="E227" s="64"/>
      <c r="F227" s="64"/>
      <c r="G227" s="66"/>
      <c r="H227" s="69" t="str">
        <f t="shared" si="6"/>
        <v/>
      </c>
      <c r="I227" s="175" t="str">
        <f t="shared" si="7"/>
        <v/>
      </c>
      <c r="J227" s="65"/>
      <c r="K227" s="64"/>
    </row>
    <row r="228" spans="1:11" x14ac:dyDescent="0.25">
      <c r="A228" s="64"/>
      <c r="B228" s="64"/>
      <c r="C228" s="64"/>
      <c r="D228" s="64"/>
      <c r="E228" s="64"/>
      <c r="F228" s="64"/>
      <c r="G228" s="66"/>
      <c r="H228" s="69" t="str">
        <f t="shared" si="6"/>
        <v/>
      </c>
      <c r="I228" s="175" t="str">
        <f t="shared" si="7"/>
        <v/>
      </c>
      <c r="J228" s="65"/>
      <c r="K228" s="64"/>
    </row>
    <row r="229" spans="1:11" x14ac:dyDescent="0.25">
      <c r="A229" s="64"/>
      <c r="B229" s="64"/>
      <c r="C229" s="64"/>
      <c r="D229" s="64"/>
      <c r="E229" s="64"/>
      <c r="F229" s="64"/>
      <c r="G229" s="66"/>
      <c r="H229" s="69" t="str">
        <f t="shared" si="6"/>
        <v/>
      </c>
      <c r="I229" s="175" t="str">
        <f t="shared" si="7"/>
        <v/>
      </c>
      <c r="J229" s="65"/>
      <c r="K229" s="64"/>
    </row>
    <row r="230" spans="1:11" x14ac:dyDescent="0.25">
      <c r="A230" s="64"/>
      <c r="B230" s="64"/>
      <c r="C230" s="64"/>
      <c r="D230" s="64"/>
      <c r="E230" s="64"/>
      <c r="F230" s="64"/>
      <c r="G230" s="66"/>
      <c r="H230" s="69" t="str">
        <f t="shared" si="6"/>
        <v/>
      </c>
      <c r="I230" s="175" t="str">
        <f t="shared" si="7"/>
        <v/>
      </c>
      <c r="J230" s="65"/>
      <c r="K230" s="64"/>
    </row>
    <row r="231" spans="1:11" x14ac:dyDescent="0.25">
      <c r="A231" s="64"/>
      <c r="B231" s="64"/>
      <c r="C231" s="64"/>
      <c r="D231" s="64"/>
      <c r="E231" s="64"/>
      <c r="F231" s="64"/>
      <c r="G231" s="66"/>
      <c r="H231" s="69" t="str">
        <f t="shared" si="6"/>
        <v/>
      </c>
      <c r="I231" s="175" t="str">
        <f t="shared" si="7"/>
        <v/>
      </c>
      <c r="J231" s="65"/>
      <c r="K231" s="64"/>
    </row>
    <row r="232" spans="1:11" x14ac:dyDescent="0.25">
      <c r="A232" s="64"/>
      <c r="B232" s="64"/>
      <c r="C232" s="64"/>
      <c r="D232" s="64"/>
      <c r="E232" s="64"/>
      <c r="F232" s="64"/>
      <c r="G232" s="66"/>
      <c r="H232" s="69" t="str">
        <f t="shared" si="6"/>
        <v/>
      </c>
      <c r="I232" s="175" t="str">
        <f t="shared" si="7"/>
        <v/>
      </c>
      <c r="J232" s="65"/>
      <c r="K232" s="64"/>
    </row>
    <row r="233" spans="1:11" x14ac:dyDescent="0.25">
      <c r="A233" s="64"/>
      <c r="B233" s="64"/>
      <c r="C233" s="64"/>
      <c r="D233" s="64"/>
      <c r="E233" s="64"/>
      <c r="F233" s="64"/>
      <c r="G233" s="66"/>
      <c r="H233" s="69" t="str">
        <f t="shared" si="6"/>
        <v/>
      </c>
      <c r="I233" s="175" t="str">
        <f t="shared" si="7"/>
        <v/>
      </c>
      <c r="J233" s="65"/>
      <c r="K233" s="64"/>
    </row>
    <row r="234" spans="1:11" x14ac:dyDescent="0.25">
      <c r="A234" s="64"/>
      <c r="B234" s="64"/>
      <c r="C234" s="64"/>
      <c r="D234" s="64"/>
      <c r="E234" s="64"/>
      <c r="F234" s="64"/>
      <c r="G234" s="66"/>
      <c r="H234" s="69" t="str">
        <f t="shared" si="6"/>
        <v/>
      </c>
      <c r="I234" s="175" t="str">
        <f t="shared" si="7"/>
        <v/>
      </c>
      <c r="J234" s="65"/>
      <c r="K234" s="64"/>
    </row>
    <row r="235" spans="1:11" x14ac:dyDescent="0.25">
      <c r="A235" s="64"/>
      <c r="B235" s="64"/>
      <c r="C235" s="64"/>
      <c r="D235" s="64"/>
      <c r="E235" s="64"/>
      <c r="F235" s="64"/>
      <c r="G235" s="66"/>
      <c r="H235" s="69" t="str">
        <f t="shared" si="6"/>
        <v/>
      </c>
      <c r="I235" s="175" t="str">
        <f t="shared" si="7"/>
        <v/>
      </c>
      <c r="J235" s="65"/>
      <c r="K235" s="64"/>
    </row>
    <row r="236" spans="1:11" x14ac:dyDescent="0.25">
      <c r="A236" s="64"/>
      <c r="B236" s="64"/>
      <c r="C236" s="64"/>
      <c r="D236" s="64"/>
      <c r="E236" s="64"/>
      <c r="F236" s="64"/>
      <c r="G236" s="66"/>
      <c r="H236" s="69" t="str">
        <f t="shared" si="6"/>
        <v/>
      </c>
      <c r="I236" s="175" t="str">
        <f t="shared" si="7"/>
        <v/>
      </c>
      <c r="J236" s="65"/>
      <c r="K236" s="64"/>
    </row>
    <row r="237" spans="1:11" x14ac:dyDescent="0.25">
      <c r="A237" s="64"/>
      <c r="B237" s="64"/>
      <c r="C237" s="64"/>
      <c r="D237" s="64"/>
      <c r="E237" s="64"/>
      <c r="F237" s="64"/>
      <c r="G237" s="66"/>
      <c r="H237" s="69" t="str">
        <f t="shared" si="6"/>
        <v/>
      </c>
      <c r="I237" s="175" t="str">
        <f t="shared" si="7"/>
        <v/>
      </c>
      <c r="J237" s="65"/>
      <c r="K237" s="64"/>
    </row>
    <row r="238" spans="1:11" x14ac:dyDescent="0.25">
      <c r="A238" s="64"/>
      <c r="B238" s="64"/>
      <c r="C238" s="64"/>
      <c r="D238" s="64"/>
      <c r="E238" s="64"/>
      <c r="F238" s="64"/>
      <c r="G238" s="66"/>
      <c r="H238" s="69" t="str">
        <f t="shared" si="6"/>
        <v/>
      </c>
      <c r="I238" s="175" t="str">
        <f t="shared" si="7"/>
        <v/>
      </c>
      <c r="J238" s="65"/>
      <c r="K238" s="64"/>
    </row>
    <row r="239" spans="1:11" x14ac:dyDescent="0.25">
      <c r="A239" s="64"/>
      <c r="B239" s="64"/>
      <c r="C239" s="64"/>
      <c r="D239" s="64"/>
      <c r="E239" s="64"/>
      <c r="F239" s="64"/>
      <c r="G239" s="66"/>
      <c r="H239" s="69" t="str">
        <f t="shared" si="6"/>
        <v/>
      </c>
      <c r="I239" s="175" t="str">
        <f t="shared" si="7"/>
        <v/>
      </c>
      <c r="J239" s="65"/>
      <c r="K239" s="64"/>
    </row>
    <row r="240" spans="1:11" x14ac:dyDescent="0.25">
      <c r="A240" s="64"/>
      <c r="B240" s="64"/>
      <c r="C240" s="64"/>
      <c r="D240" s="64"/>
      <c r="E240" s="64"/>
      <c r="F240" s="64"/>
      <c r="G240" s="66"/>
      <c r="H240" s="69" t="str">
        <f t="shared" si="6"/>
        <v/>
      </c>
      <c r="I240" s="175" t="str">
        <f t="shared" si="7"/>
        <v/>
      </c>
      <c r="J240" s="65"/>
      <c r="K240" s="64"/>
    </row>
    <row r="241" spans="1:11" x14ac:dyDescent="0.25">
      <c r="A241" s="64"/>
      <c r="B241" s="64"/>
      <c r="C241" s="64"/>
      <c r="D241" s="64"/>
      <c r="E241" s="64"/>
      <c r="F241" s="64"/>
      <c r="G241" s="66"/>
      <c r="H241" s="69" t="str">
        <f t="shared" si="6"/>
        <v/>
      </c>
      <c r="I241" s="175" t="str">
        <f t="shared" si="7"/>
        <v/>
      </c>
      <c r="J241" s="65"/>
      <c r="K241" s="64"/>
    </row>
    <row r="242" spans="1:11" x14ac:dyDescent="0.25">
      <c r="A242" s="64"/>
      <c r="B242" s="64"/>
      <c r="C242" s="64"/>
      <c r="D242" s="64"/>
      <c r="E242" s="64"/>
      <c r="F242" s="64"/>
      <c r="G242" s="66"/>
      <c r="H242" s="69" t="str">
        <f t="shared" si="6"/>
        <v/>
      </c>
      <c r="I242" s="175" t="str">
        <f t="shared" si="7"/>
        <v/>
      </c>
      <c r="J242" s="65"/>
      <c r="K242" s="64"/>
    </row>
    <row r="243" spans="1:11" x14ac:dyDescent="0.25">
      <c r="A243" s="64"/>
      <c r="B243" s="64"/>
      <c r="C243" s="64"/>
      <c r="D243" s="64"/>
      <c r="E243" s="64"/>
      <c r="F243" s="64"/>
      <c r="G243" s="66"/>
      <c r="H243" s="69" t="str">
        <f t="shared" si="6"/>
        <v/>
      </c>
      <c r="I243" s="175" t="str">
        <f t="shared" si="7"/>
        <v/>
      </c>
      <c r="J243" s="65"/>
      <c r="K243" s="64"/>
    </row>
    <row r="244" spans="1:11" x14ac:dyDescent="0.25">
      <c r="A244" s="64"/>
      <c r="B244" s="64"/>
      <c r="C244" s="64"/>
      <c r="D244" s="64"/>
      <c r="E244" s="64"/>
      <c r="F244" s="64"/>
      <c r="G244" s="66"/>
      <c r="H244" s="69" t="str">
        <f t="shared" si="6"/>
        <v/>
      </c>
      <c r="I244" s="175" t="str">
        <f t="shared" si="7"/>
        <v/>
      </c>
      <c r="J244" s="65"/>
      <c r="K244" s="64"/>
    </row>
    <row r="245" spans="1:11" x14ac:dyDescent="0.25">
      <c r="A245" s="64"/>
      <c r="B245" s="64"/>
      <c r="C245" s="64"/>
      <c r="D245" s="64"/>
      <c r="E245" s="64"/>
      <c r="F245" s="64"/>
      <c r="G245" s="66"/>
      <c r="H245" s="69" t="str">
        <f t="shared" si="6"/>
        <v/>
      </c>
      <c r="I245" s="175" t="str">
        <f t="shared" si="7"/>
        <v/>
      </c>
      <c r="J245" s="65"/>
      <c r="K245" s="64"/>
    </row>
    <row r="246" spans="1:11" x14ac:dyDescent="0.25">
      <c r="A246" s="64"/>
      <c r="B246" s="64"/>
      <c r="C246" s="64"/>
      <c r="D246" s="64"/>
      <c r="E246" s="64"/>
      <c r="F246" s="64"/>
      <c r="G246" s="66"/>
      <c r="H246" s="69" t="str">
        <f t="shared" si="6"/>
        <v/>
      </c>
      <c r="I246" s="175" t="str">
        <f t="shared" si="7"/>
        <v/>
      </c>
      <c r="J246" s="65"/>
      <c r="K246" s="64"/>
    </row>
    <row r="247" spans="1:11" x14ac:dyDescent="0.25">
      <c r="A247" s="64"/>
      <c r="B247" s="64"/>
      <c r="C247" s="64"/>
      <c r="D247" s="64"/>
      <c r="E247" s="64"/>
      <c r="F247" s="64"/>
      <c r="G247" s="66"/>
      <c r="H247" s="69" t="str">
        <f t="shared" si="6"/>
        <v/>
      </c>
      <c r="I247" s="175" t="str">
        <f t="shared" si="7"/>
        <v/>
      </c>
      <c r="J247" s="65"/>
      <c r="K247" s="64"/>
    </row>
    <row r="248" spans="1:11" x14ac:dyDescent="0.25">
      <c r="A248" s="64"/>
      <c r="B248" s="64"/>
      <c r="C248" s="64"/>
      <c r="D248" s="64"/>
      <c r="E248" s="64"/>
      <c r="F248" s="64"/>
      <c r="G248" s="66"/>
      <c r="H248" s="69" t="str">
        <f t="shared" si="6"/>
        <v/>
      </c>
      <c r="I248" s="175" t="str">
        <f t="shared" si="7"/>
        <v/>
      </c>
      <c r="J248" s="65"/>
      <c r="K248" s="64"/>
    </row>
    <row r="249" spans="1:11" x14ac:dyDescent="0.25">
      <c r="A249" s="64"/>
      <c r="B249" s="64"/>
      <c r="C249" s="64"/>
      <c r="D249" s="64"/>
      <c r="E249" s="64"/>
      <c r="F249" s="64"/>
      <c r="G249" s="66"/>
      <c r="H249" s="69" t="str">
        <f t="shared" si="6"/>
        <v/>
      </c>
      <c r="I249" s="175" t="str">
        <f t="shared" si="7"/>
        <v/>
      </c>
      <c r="J249" s="65"/>
      <c r="K249" s="64"/>
    </row>
    <row r="250" spans="1:11" x14ac:dyDescent="0.25">
      <c r="A250" s="64"/>
      <c r="B250" s="64"/>
      <c r="C250" s="64"/>
      <c r="D250" s="64"/>
      <c r="E250" s="64"/>
      <c r="F250" s="64"/>
      <c r="G250" s="66"/>
      <c r="H250" s="69" t="str">
        <f t="shared" si="6"/>
        <v/>
      </c>
      <c r="I250" s="175" t="str">
        <f t="shared" si="7"/>
        <v/>
      </c>
      <c r="J250" s="65"/>
      <c r="K250" s="64"/>
    </row>
    <row r="251" spans="1:11" x14ac:dyDescent="0.25">
      <c r="A251" s="64"/>
      <c r="B251" s="64"/>
      <c r="C251" s="64"/>
      <c r="D251" s="64"/>
      <c r="E251" s="64"/>
      <c r="F251" s="64"/>
      <c r="G251" s="66"/>
      <c r="H251" s="69" t="str">
        <f t="shared" si="6"/>
        <v/>
      </c>
      <c r="I251" s="175" t="str">
        <f t="shared" si="7"/>
        <v/>
      </c>
      <c r="J251" s="65"/>
      <c r="K251" s="64"/>
    </row>
    <row r="252" spans="1:11" x14ac:dyDescent="0.25">
      <c r="A252" s="64"/>
      <c r="B252" s="64"/>
      <c r="C252" s="64"/>
      <c r="D252" s="64"/>
      <c r="E252" s="64"/>
      <c r="F252" s="64"/>
      <c r="G252" s="66"/>
      <c r="H252" s="69" t="str">
        <f t="shared" si="6"/>
        <v/>
      </c>
      <c r="I252" s="175" t="str">
        <f t="shared" si="7"/>
        <v/>
      </c>
      <c r="J252" s="65"/>
      <c r="K252" s="64"/>
    </row>
    <row r="253" spans="1:11" x14ac:dyDescent="0.25">
      <c r="A253" s="64"/>
      <c r="B253" s="64"/>
      <c r="C253" s="64"/>
      <c r="D253" s="64"/>
      <c r="E253" s="64"/>
      <c r="F253" s="64"/>
      <c r="G253" s="66"/>
      <c r="H253" s="69" t="str">
        <f t="shared" si="6"/>
        <v/>
      </c>
      <c r="I253" s="175" t="str">
        <f t="shared" si="7"/>
        <v/>
      </c>
      <c r="J253" s="65"/>
      <c r="K253" s="64"/>
    </row>
    <row r="254" spans="1:11" x14ac:dyDescent="0.25">
      <c r="A254" s="64"/>
      <c r="B254" s="64"/>
      <c r="C254" s="64"/>
      <c r="D254" s="64"/>
      <c r="E254" s="64"/>
      <c r="F254" s="64"/>
      <c r="G254" s="66"/>
      <c r="H254" s="69" t="str">
        <f t="shared" si="6"/>
        <v/>
      </c>
      <c r="I254" s="175" t="str">
        <f t="shared" si="7"/>
        <v/>
      </c>
      <c r="J254" s="65"/>
      <c r="K254" s="64"/>
    </row>
    <row r="255" spans="1:11" x14ac:dyDescent="0.25">
      <c r="A255" s="64"/>
      <c r="B255" s="64"/>
      <c r="C255" s="64"/>
      <c r="D255" s="64"/>
      <c r="E255" s="64"/>
      <c r="F255" s="64"/>
      <c r="G255" s="66"/>
      <c r="H255" s="69" t="str">
        <f t="shared" si="6"/>
        <v/>
      </c>
      <c r="I255" s="175" t="str">
        <f t="shared" si="7"/>
        <v/>
      </c>
      <c r="J255" s="65"/>
      <c r="K255" s="64"/>
    </row>
    <row r="256" spans="1:11" x14ac:dyDescent="0.25">
      <c r="A256" s="64"/>
      <c r="B256" s="64"/>
      <c r="C256" s="64"/>
      <c r="D256" s="64"/>
      <c r="E256" s="64"/>
      <c r="F256" s="64"/>
      <c r="G256" s="66"/>
      <c r="H256" s="69" t="str">
        <f t="shared" si="6"/>
        <v/>
      </c>
      <c r="I256" s="175" t="str">
        <f t="shared" si="7"/>
        <v/>
      </c>
      <c r="J256" s="65"/>
      <c r="K256" s="64"/>
    </row>
    <row r="257" spans="1:11" x14ac:dyDescent="0.25">
      <c r="A257" s="64"/>
      <c r="B257" s="64"/>
      <c r="C257" s="64"/>
      <c r="D257" s="64"/>
      <c r="E257" s="64"/>
      <c r="F257" s="64"/>
      <c r="G257" s="66"/>
      <c r="H257" s="69" t="str">
        <f t="shared" si="6"/>
        <v/>
      </c>
      <c r="I257" s="175" t="str">
        <f t="shared" si="7"/>
        <v/>
      </c>
      <c r="J257" s="65"/>
      <c r="K257" s="64"/>
    </row>
    <row r="258" spans="1:11" x14ac:dyDescent="0.25">
      <c r="A258" s="64"/>
      <c r="B258" s="64"/>
      <c r="C258" s="64"/>
      <c r="D258" s="64"/>
      <c r="E258" s="64"/>
      <c r="F258" s="64"/>
      <c r="G258" s="66"/>
      <c r="H258" s="69" t="str">
        <f t="shared" si="6"/>
        <v/>
      </c>
      <c r="I258" s="175" t="str">
        <f t="shared" si="7"/>
        <v/>
      </c>
      <c r="J258" s="65"/>
      <c r="K258" s="64"/>
    </row>
    <row r="259" spans="1:11" x14ac:dyDescent="0.25">
      <c r="A259" s="64"/>
      <c r="B259" s="64"/>
      <c r="C259" s="64"/>
      <c r="D259" s="64"/>
      <c r="E259" s="64"/>
      <c r="F259" s="64"/>
      <c r="G259" s="66"/>
      <c r="H259" s="69" t="str">
        <f t="shared" ref="H259:H322" si="8">IFERROR(IF(OR(E259="",G259=""),"",E259*G259),"")</f>
        <v/>
      </c>
      <c r="I259" s="175" t="str">
        <f t="shared" ref="I259:I322" si="9">IF(A259="","",IF(E259="","",IF(E259&lt;=F259*0.5,"Critical",IF(E259&lt;=F259,"Reorder","OK"))))</f>
        <v/>
      </c>
      <c r="J259" s="65"/>
      <c r="K259" s="64"/>
    </row>
    <row r="260" spans="1:11" x14ac:dyDescent="0.25">
      <c r="A260" s="64"/>
      <c r="B260" s="64"/>
      <c r="C260" s="64"/>
      <c r="D260" s="64"/>
      <c r="E260" s="64"/>
      <c r="F260" s="64"/>
      <c r="G260" s="66"/>
      <c r="H260" s="69" t="str">
        <f t="shared" si="8"/>
        <v/>
      </c>
      <c r="I260" s="175" t="str">
        <f t="shared" si="9"/>
        <v/>
      </c>
      <c r="J260" s="65"/>
      <c r="K260" s="64"/>
    </row>
    <row r="261" spans="1:11" x14ac:dyDescent="0.25">
      <c r="A261" s="64"/>
      <c r="B261" s="64"/>
      <c r="C261" s="64"/>
      <c r="D261" s="64"/>
      <c r="E261" s="64"/>
      <c r="F261" s="64"/>
      <c r="G261" s="66"/>
      <c r="H261" s="69" t="str">
        <f t="shared" si="8"/>
        <v/>
      </c>
      <c r="I261" s="175" t="str">
        <f t="shared" si="9"/>
        <v/>
      </c>
      <c r="J261" s="65"/>
      <c r="K261" s="64"/>
    </row>
    <row r="262" spans="1:11" x14ac:dyDescent="0.25">
      <c r="A262" s="64"/>
      <c r="B262" s="64"/>
      <c r="C262" s="64"/>
      <c r="D262" s="64"/>
      <c r="E262" s="64"/>
      <c r="F262" s="64"/>
      <c r="G262" s="66"/>
      <c r="H262" s="69" t="str">
        <f t="shared" si="8"/>
        <v/>
      </c>
      <c r="I262" s="175" t="str">
        <f t="shared" si="9"/>
        <v/>
      </c>
      <c r="J262" s="65"/>
      <c r="K262" s="64"/>
    </row>
    <row r="263" spans="1:11" x14ac:dyDescent="0.25">
      <c r="A263" s="64"/>
      <c r="B263" s="64"/>
      <c r="C263" s="64"/>
      <c r="D263" s="64"/>
      <c r="E263" s="64"/>
      <c r="F263" s="64"/>
      <c r="G263" s="66"/>
      <c r="H263" s="69" t="str">
        <f t="shared" si="8"/>
        <v/>
      </c>
      <c r="I263" s="175" t="str">
        <f t="shared" si="9"/>
        <v/>
      </c>
      <c r="J263" s="65"/>
      <c r="K263" s="64"/>
    </row>
    <row r="264" spans="1:11" x14ac:dyDescent="0.25">
      <c r="A264" s="64"/>
      <c r="B264" s="64"/>
      <c r="C264" s="64"/>
      <c r="D264" s="64"/>
      <c r="E264" s="64"/>
      <c r="F264" s="64"/>
      <c r="G264" s="66"/>
      <c r="H264" s="69" t="str">
        <f t="shared" si="8"/>
        <v/>
      </c>
      <c r="I264" s="175" t="str">
        <f t="shared" si="9"/>
        <v/>
      </c>
      <c r="J264" s="65"/>
      <c r="K264" s="64"/>
    </row>
    <row r="265" spans="1:11" x14ac:dyDescent="0.25">
      <c r="A265" s="64"/>
      <c r="B265" s="64"/>
      <c r="C265" s="64"/>
      <c r="D265" s="64"/>
      <c r="E265" s="64"/>
      <c r="F265" s="64"/>
      <c r="G265" s="66"/>
      <c r="H265" s="69" t="str">
        <f t="shared" si="8"/>
        <v/>
      </c>
      <c r="I265" s="175" t="str">
        <f t="shared" si="9"/>
        <v/>
      </c>
      <c r="J265" s="65"/>
      <c r="K265" s="64"/>
    </row>
    <row r="266" spans="1:11" x14ac:dyDescent="0.25">
      <c r="A266" s="64"/>
      <c r="B266" s="64"/>
      <c r="C266" s="64"/>
      <c r="D266" s="64"/>
      <c r="E266" s="64"/>
      <c r="F266" s="64"/>
      <c r="G266" s="66"/>
      <c r="H266" s="69" t="str">
        <f t="shared" si="8"/>
        <v/>
      </c>
      <c r="I266" s="175" t="str">
        <f t="shared" si="9"/>
        <v/>
      </c>
      <c r="J266" s="65"/>
      <c r="K266" s="64"/>
    </row>
    <row r="267" spans="1:11" x14ac:dyDescent="0.25">
      <c r="A267" s="64"/>
      <c r="B267" s="64"/>
      <c r="C267" s="64"/>
      <c r="D267" s="64"/>
      <c r="E267" s="64"/>
      <c r="F267" s="64"/>
      <c r="G267" s="66"/>
      <c r="H267" s="69" t="str">
        <f t="shared" si="8"/>
        <v/>
      </c>
      <c r="I267" s="175" t="str">
        <f t="shared" si="9"/>
        <v/>
      </c>
      <c r="J267" s="65"/>
      <c r="K267" s="64"/>
    </row>
    <row r="268" spans="1:11" x14ac:dyDescent="0.25">
      <c r="A268" s="64"/>
      <c r="B268" s="64"/>
      <c r="C268" s="64"/>
      <c r="D268" s="64"/>
      <c r="E268" s="64"/>
      <c r="F268" s="64"/>
      <c r="G268" s="66"/>
      <c r="H268" s="69" t="str">
        <f t="shared" si="8"/>
        <v/>
      </c>
      <c r="I268" s="175" t="str">
        <f t="shared" si="9"/>
        <v/>
      </c>
      <c r="J268" s="65"/>
      <c r="K268" s="64"/>
    </row>
    <row r="269" spans="1:11" x14ac:dyDescent="0.25">
      <c r="A269" s="64"/>
      <c r="B269" s="64"/>
      <c r="C269" s="64"/>
      <c r="D269" s="64"/>
      <c r="E269" s="64"/>
      <c r="F269" s="64"/>
      <c r="G269" s="66"/>
      <c r="H269" s="69" t="str">
        <f t="shared" si="8"/>
        <v/>
      </c>
      <c r="I269" s="175" t="str">
        <f t="shared" si="9"/>
        <v/>
      </c>
      <c r="J269" s="65"/>
      <c r="K269" s="64"/>
    </row>
    <row r="270" spans="1:11" x14ac:dyDescent="0.25">
      <c r="A270" s="64"/>
      <c r="B270" s="64"/>
      <c r="C270" s="64"/>
      <c r="D270" s="64"/>
      <c r="E270" s="64"/>
      <c r="F270" s="64"/>
      <c r="G270" s="66"/>
      <c r="H270" s="69" t="str">
        <f t="shared" si="8"/>
        <v/>
      </c>
      <c r="I270" s="175" t="str">
        <f t="shared" si="9"/>
        <v/>
      </c>
      <c r="J270" s="65"/>
      <c r="K270" s="64"/>
    </row>
    <row r="271" spans="1:11" x14ac:dyDescent="0.25">
      <c r="A271" s="64"/>
      <c r="B271" s="64"/>
      <c r="C271" s="64"/>
      <c r="D271" s="64"/>
      <c r="E271" s="64"/>
      <c r="F271" s="64"/>
      <c r="G271" s="66"/>
      <c r="H271" s="69" t="str">
        <f t="shared" si="8"/>
        <v/>
      </c>
      <c r="I271" s="175" t="str">
        <f t="shared" si="9"/>
        <v/>
      </c>
      <c r="J271" s="65"/>
      <c r="K271" s="64"/>
    </row>
    <row r="272" spans="1:11" x14ac:dyDescent="0.25">
      <c r="A272" s="64"/>
      <c r="B272" s="64"/>
      <c r="C272" s="64"/>
      <c r="D272" s="64"/>
      <c r="E272" s="64"/>
      <c r="F272" s="64"/>
      <c r="G272" s="66"/>
      <c r="H272" s="69" t="str">
        <f t="shared" si="8"/>
        <v/>
      </c>
      <c r="I272" s="175" t="str">
        <f t="shared" si="9"/>
        <v/>
      </c>
      <c r="J272" s="65"/>
      <c r="K272" s="64"/>
    </row>
    <row r="273" spans="1:11" x14ac:dyDescent="0.25">
      <c r="A273" s="64"/>
      <c r="B273" s="64"/>
      <c r="C273" s="64"/>
      <c r="D273" s="64"/>
      <c r="E273" s="64"/>
      <c r="F273" s="64"/>
      <c r="G273" s="66"/>
      <c r="H273" s="69" t="str">
        <f t="shared" si="8"/>
        <v/>
      </c>
      <c r="I273" s="175" t="str">
        <f t="shared" si="9"/>
        <v/>
      </c>
      <c r="J273" s="65"/>
      <c r="K273" s="64"/>
    </row>
    <row r="274" spans="1:11" x14ac:dyDescent="0.25">
      <c r="A274" s="64"/>
      <c r="B274" s="64"/>
      <c r="C274" s="64"/>
      <c r="D274" s="64"/>
      <c r="E274" s="64"/>
      <c r="F274" s="64"/>
      <c r="G274" s="66"/>
      <c r="H274" s="69" t="str">
        <f t="shared" si="8"/>
        <v/>
      </c>
      <c r="I274" s="175" t="str">
        <f t="shared" si="9"/>
        <v/>
      </c>
      <c r="J274" s="65"/>
      <c r="K274" s="64"/>
    </row>
    <row r="275" spans="1:11" x14ac:dyDescent="0.25">
      <c r="A275" s="64"/>
      <c r="B275" s="64"/>
      <c r="C275" s="64"/>
      <c r="D275" s="64"/>
      <c r="E275" s="64"/>
      <c r="F275" s="64"/>
      <c r="G275" s="66"/>
      <c r="H275" s="69" t="str">
        <f t="shared" si="8"/>
        <v/>
      </c>
      <c r="I275" s="175" t="str">
        <f t="shared" si="9"/>
        <v/>
      </c>
      <c r="J275" s="65"/>
      <c r="K275" s="64"/>
    </row>
    <row r="276" spans="1:11" x14ac:dyDescent="0.25">
      <c r="A276" s="64"/>
      <c r="B276" s="64"/>
      <c r="C276" s="64"/>
      <c r="D276" s="64"/>
      <c r="E276" s="64"/>
      <c r="F276" s="64"/>
      <c r="G276" s="66"/>
      <c r="H276" s="69" t="str">
        <f t="shared" si="8"/>
        <v/>
      </c>
      <c r="I276" s="175" t="str">
        <f t="shared" si="9"/>
        <v/>
      </c>
      <c r="J276" s="65"/>
      <c r="K276" s="64"/>
    </row>
    <row r="277" spans="1:11" x14ac:dyDescent="0.25">
      <c r="A277" s="64"/>
      <c r="B277" s="64"/>
      <c r="C277" s="64"/>
      <c r="D277" s="64"/>
      <c r="E277" s="64"/>
      <c r="F277" s="64"/>
      <c r="G277" s="66"/>
      <c r="H277" s="69" t="str">
        <f t="shared" si="8"/>
        <v/>
      </c>
      <c r="I277" s="175" t="str">
        <f t="shared" si="9"/>
        <v/>
      </c>
      <c r="J277" s="65"/>
      <c r="K277" s="64"/>
    </row>
    <row r="278" spans="1:11" x14ac:dyDescent="0.25">
      <c r="A278" s="64"/>
      <c r="B278" s="64"/>
      <c r="C278" s="64"/>
      <c r="D278" s="64"/>
      <c r="E278" s="64"/>
      <c r="F278" s="64"/>
      <c r="G278" s="66"/>
      <c r="H278" s="69" t="str">
        <f t="shared" si="8"/>
        <v/>
      </c>
      <c r="I278" s="175" t="str">
        <f t="shared" si="9"/>
        <v/>
      </c>
      <c r="J278" s="65"/>
      <c r="K278" s="64"/>
    </row>
    <row r="279" spans="1:11" x14ac:dyDescent="0.25">
      <c r="A279" s="64"/>
      <c r="B279" s="64"/>
      <c r="C279" s="64"/>
      <c r="D279" s="64"/>
      <c r="E279" s="64"/>
      <c r="F279" s="64"/>
      <c r="G279" s="66"/>
      <c r="H279" s="69" t="str">
        <f t="shared" si="8"/>
        <v/>
      </c>
      <c r="I279" s="175" t="str">
        <f t="shared" si="9"/>
        <v/>
      </c>
      <c r="J279" s="65"/>
      <c r="K279" s="64"/>
    </row>
    <row r="280" spans="1:11" x14ac:dyDescent="0.25">
      <c r="A280" s="64"/>
      <c r="B280" s="64"/>
      <c r="C280" s="64"/>
      <c r="D280" s="64"/>
      <c r="E280" s="64"/>
      <c r="F280" s="64"/>
      <c r="G280" s="66"/>
      <c r="H280" s="69" t="str">
        <f t="shared" si="8"/>
        <v/>
      </c>
      <c r="I280" s="175" t="str">
        <f t="shared" si="9"/>
        <v/>
      </c>
      <c r="J280" s="65"/>
      <c r="K280" s="64"/>
    </row>
    <row r="281" spans="1:11" x14ac:dyDescent="0.25">
      <c r="A281" s="64"/>
      <c r="B281" s="64"/>
      <c r="C281" s="64"/>
      <c r="D281" s="64"/>
      <c r="E281" s="64"/>
      <c r="F281" s="64"/>
      <c r="G281" s="66"/>
      <c r="H281" s="69" t="str">
        <f t="shared" si="8"/>
        <v/>
      </c>
      <c r="I281" s="175" t="str">
        <f t="shared" si="9"/>
        <v/>
      </c>
      <c r="J281" s="65"/>
      <c r="K281" s="64"/>
    </row>
    <row r="282" spans="1:11" x14ac:dyDescent="0.25">
      <c r="A282" s="64"/>
      <c r="B282" s="64"/>
      <c r="C282" s="64"/>
      <c r="D282" s="64"/>
      <c r="E282" s="64"/>
      <c r="F282" s="64"/>
      <c r="G282" s="66"/>
      <c r="H282" s="69" t="str">
        <f t="shared" si="8"/>
        <v/>
      </c>
      <c r="I282" s="175" t="str">
        <f t="shared" si="9"/>
        <v/>
      </c>
      <c r="J282" s="65"/>
      <c r="K282" s="64"/>
    </row>
    <row r="283" spans="1:11" x14ac:dyDescent="0.25">
      <c r="A283" s="64"/>
      <c r="B283" s="64"/>
      <c r="C283" s="64"/>
      <c r="D283" s="64"/>
      <c r="E283" s="64"/>
      <c r="F283" s="64"/>
      <c r="G283" s="66"/>
      <c r="H283" s="69" t="str">
        <f t="shared" si="8"/>
        <v/>
      </c>
      <c r="I283" s="175" t="str">
        <f t="shared" si="9"/>
        <v/>
      </c>
      <c r="J283" s="65"/>
      <c r="K283" s="64"/>
    </row>
    <row r="284" spans="1:11" x14ac:dyDescent="0.25">
      <c r="A284" s="64"/>
      <c r="B284" s="64"/>
      <c r="C284" s="64"/>
      <c r="D284" s="64"/>
      <c r="E284" s="64"/>
      <c r="F284" s="64"/>
      <c r="G284" s="66"/>
      <c r="H284" s="69" t="str">
        <f t="shared" si="8"/>
        <v/>
      </c>
      <c r="I284" s="175" t="str">
        <f t="shared" si="9"/>
        <v/>
      </c>
      <c r="J284" s="65"/>
      <c r="K284" s="64"/>
    </row>
    <row r="285" spans="1:11" x14ac:dyDescent="0.25">
      <c r="A285" s="64"/>
      <c r="B285" s="64"/>
      <c r="C285" s="64"/>
      <c r="D285" s="64"/>
      <c r="E285" s="64"/>
      <c r="F285" s="64"/>
      <c r="G285" s="66"/>
      <c r="H285" s="69" t="str">
        <f t="shared" si="8"/>
        <v/>
      </c>
      <c r="I285" s="175" t="str">
        <f t="shared" si="9"/>
        <v/>
      </c>
      <c r="J285" s="65"/>
      <c r="K285" s="64"/>
    </row>
    <row r="286" spans="1:11" x14ac:dyDescent="0.25">
      <c r="A286" s="64"/>
      <c r="B286" s="64"/>
      <c r="C286" s="64"/>
      <c r="D286" s="64"/>
      <c r="E286" s="64"/>
      <c r="F286" s="64"/>
      <c r="G286" s="66"/>
      <c r="H286" s="69" t="str">
        <f t="shared" si="8"/>
        <v/>
      </c>
      <c r="I286" s="175" t="str">
        <f t="shared" si="9"/>
        <v/>
      </c>
      <c r="J286" s="65"/>
      <c r="K286" s="64"/>
    </row>
    <row r="287" spans="1:11" x14ac:dyDescent="0.25">
      <c r="A287" s="64"/>
      <c r="B287" s="64"/>
      <c r="C287" s="64"/>
      <c r="D287" s="64"/>
      <c r="E287" s="64"/>
      <c r="F287" s="64"/>
      <c r="G287" s="66"/>
      <c r="H287" s="69" t="str">
        <f t="shared" si="8"/>
        <v/>
      </c>
      <c r="I287" s="175" t="str">
        <f t="shared" si="9"/>
        <v/>
      </c>
      <c r="J287" s="65"/>
      <c r="K287" s="64"/>
    </row>
    <row r="288" spans="1:11" x14ac:dyDescent="0.25">
      <c r="A288" s="64"/>
      <c r="B288" s="64"/>
      <c r="C288" s="64"/>
      <c r="D288" s="64"/>
      <c r="E288" s="64"/>
      <c r="F288" s="64"/>
      <c r="G288" s="66"/>
      <c r="H288" s="69" t="str">
        <f t="shared" si="8"/>
        <v/>
      </c>
      <c r="I288" s="175" t="str">
        <f t="shared" si="9"/>
        <v/>
      </c>
      <c r="J288" s="65"/>
      <c r="K288" s="64"/>
    </row>
    <row r="289" spans="1:11" x14ac:dyDescent="0.25">
      <c r="A289" s="64"/>
      <c r="B289" s="64"/>
      <c r="C289" s="64"/>
      <c r="D289" s="64"/>
      <c r="E289" s="64"/>
      <c r="F289" s="64"/>
      <c r="G289" s="66"/>
      <c r="H289" s="69" t="str">
        <f t="shared" si="8"/>
        <v/>
      </c>
      <c r="I289" s="175" t="str">
        <f t="shared" si="9"/>
        <v/>
      </c>
      <c r="J289" s="65"/>
      <c r="K289" s="64"/>
    </row>
    <row r="290" spans="1:11" x14ac:dyDescent="0.25">
      <c r="A290" s="64"/>
      <c r="B290" s="64"/>
      <c r="C290" s="64"/>
      <c r="D290" s="64"/>
      <c r="E290" s="64"/>
      <c r="F290" s="64"/>
      <c r="G290" s="66"/>
      <c r="H290" s="69" t="str">
        <f t="shared" si="8"/>
        <v/>
      </c>
      <c r="I290" s="175" t="str">
        <f t="shared" si="9"/>
        <v/>
      </c>
      <c r="J290" s="65"/>
      <c r="K290" s="64"/>
    </row>
    <row r="291" spans="1:11" x14ac:dyDescent="0.25">
      <c r="A291" s="64"/>
      <c r="B291" s="64"/>
      <c r="C291" s="64"/>
      <c r="D291" s="64"/>
      <c r="E291" s="64"/>
      <c r="F291" s="64"/>
      <c r="G291" s="66"/>
      <c r="H291" s="69" t="str">
        <f t="shared" si="8"/>
        <v/>
      </c>
      <c r="I291" s="175" t="str">
        <f t="shared" si="9"/>
        <v/>
      </c>
      <c r="J291" s="65"/>
      <c r="K291" s="64"/>
    </row>
    <row r="292" spans="1:11" x14ac:dyDescent="0.25">
      <c r="A292" s="64"/>
      <c r="B292" s="64"/>
      <c r="C292" s="64"/>
      <c r="D292" s="64"/>
      <c r="E292" s="64"/>
      <c r="F292" s="64"/>
      <c r="G292" s="66"/>
      <c r="H292" s="69" t="str">
        <f t="shared" si="8"/>
        <v/>
      </c>
      <c r="I292" s="175" t="str">
        <f t="shared" si="9"/>
        <v/>
      </c>
      <c r="J292" s="65"/>
      <c r="K292" s="64"/>
    </row>
    <row r="293" spans="1:11" x14ac:dyDescent="0.25">
      <c r="A293" s="64"/>
      <c r="B293" s="64"/>
      <c r="C293" s="64"/>
      <c r="D293" s="64"/>
      <c r="E293" s="64"/>
      <c r="F293" s="64"/>
      <c r="G293" s="66"/>
      <c r="H293" s="69" t="str">
        <f t="shared" si="8"/>
        <v/>
      </c>
      <c r="I293" s="175" t="str">
        <f t="shared" si="9"/>
        <v/>
      </c>
      <c r="J293" s="65"/>
      <c r="K293" s="64"/>
    </row>
    <row r="294" spans="1:11" x14ac:dyDescent="0.25">
      <c r="A294" s="64"/>
      <c r="B294" s="64"/>
      <c r="C294" s="64"/>
      <c r="D294" s="64"/>
      <c r="E294" s="64"/>
      <c r="F294" s="64"/>
      <c r="G294" s="66"/>
      <c r="H294" s="69" t="str">
        <f t="shared" si="8"/>
        <v/>
      </c>
      <c r="I294" s="175" t="str">
        <f t="shared" si="9"/>
        <v/>
      </c>
      <c r="J294" s="65"/>
      <c r="K294" s="64"/>
    </row>
    <row r="295" spans="1:11" x14ac:dyDescent="0.25">
      <c r="A295" s="64"/>
      <c r="B295" s="64"/>
      <c r="C295" s="64"/>
      <c r="D295" s="64"/>
      <c r="E295" s="64"/>
      <c r="F295" s="64"/>
      <c r="G295" s="66"/>
      <c r="H295" s="69" t="str">
        <f t="shared" si="8"/>
        <v/>
      </c>
      <c r="I295" s="175" t="str">
        <f t="shared" si="9"/>
        <v/>
      </c>
      <c r="J295" s="65"/>
      <c r="K295" s="64"/>
    </row>
    <row r="296" spans="1:11" x14ac:dyDescent="0.25">
      <c r="A296" s="64"/>
      <c r="B296" s="64"/>
      <c r="C296" s="64"/>
      <c r="D296" s="64"/>
      <c r="E296" s="64"/>
      <c r="F296" s="64"/>
      <c r="G296" s="66"/>
      <c r="H296" s="69" t="str">
        <f t="shared" si="8"/>
        <v/>
      </c>
      <c r="I296" s="175" t="str">
        <f t="shared" si="9"/>
        <v/>
      </c>
      <c r="J296" s="65"/>
      <c r="K296" s="64"/>
    </row>
    <row r="297" spans="1:11" x14ac:dyDescent="0.25">
      <c r="A297" s="64"/>
      <c r="B297" s="64"/>
      <c r="C297" s="64"/>
      <c r="D297" s="64"/>
      <c r="E297" s="64"/>
      <c r="F297" s="64"/>
      <c r="G297" s="66"/>
      <c r="H297" s="69" t="str">
        <f t="shared" si="8"/>
        <v/>
      </c>
      <c r="I297" s="175" t="str">
        <f t="shared" si="9"/>
        <v/>
      </c>
      <c r="J297" s="65"/>
      <c r="K297" s="64"/>
    </row>
    <row r="298" spans="1:11" x14ac:dyDescent="0.25">
      <c r="A298" s="64"/>
      <c r="B298" s="64"/>
      <c r="C298" s="64"/>
      <c r="D298" s="64"/>
      <c r="E298" s="64"/>
      <c r="F298" s="64"/>
      <c r="G298" s="66"/>
      <c r="H298" s="69" t="str">
        <f t="shared" si="8"/>
        <v/>
      </c>
      <c r="I298" s="175" t="str">
        <f t="shared" si="9"/>
        <v/>
      </c>
      <c r="J298" s="65"/>
      <c r="K298" s="64"/>
    </row>
    <row r="299" spans="1:11" x14ac:dyDescent="0.25">
      <c r="A299" s="64"/>
      <c r="B299" s="64"/>
      <c r="C299" s="64"/>
      <c r="D299" s="64"/>
      <c r="E299" s="64"/>
      <c r="F299" s="64"/>
      <c r="G299" s="66"/>
      <c r="H299" s="69" t="str">
        <f t="shared" si="8"/>
        <v/>
      </c>
      <c r="I299" s="175" t="str">
        <f t="shared" si="9"/>
        <v/>
      </c>
      <c r="J299" s="65"/>
      <c r="K299" s="64"/>
    </row>
    <row r="300" spans="1:11" x14ac:dyDescent="0.25">
      <c r="A300" s="64"/>
      <c r="B300" s="64"/>
      <c r="C300" s="64"/>
      <c r="D300" s="64"/>
      <c r="E300" s="64"/>
      <c r="F300" s="64"/>
      <c r="G300" s="66"/>
      <c r="H300" s="69" t="str">
        <f t="shared" si="8"/>
        <v/>
      </c>
      <c r="I300" s="175" t="str">
        <f t="shared" si="9"/>
        <v/>
      </c>
      <c r="J300" s="65"/>
      <c r="K300" s="64"/>
    </row>
    <row r="301" spans="1:11" x14ac:dyDescent="0.25">
      <c r="A301" s="64"/>
      <c r="B301" s="64"/>
      <c r="C301" s="64"/>
      <c r="D301" s="64"/>
      <c r="E301" s="64"/>
      <c r="F301" s="64"/>
      <c r="G301" s="66"/>
      <c r="H301" s="69" t="str">
        <f t="shared" si="8"/>
        <v/>
      </c>
      <c r="I301" s="175" t="str">
        <f t="shared" si="9"/>
        <v/>
      </c>
      <c r="J301" s="65"/>
      <c r="K301" s="64"/>
    </row>
    <row r="302" spans="1:11" x14ac:dyDescent="0.25">
      <c r="A302" s="64"/>
      <c r="B302" s="64"/>
      <c r="C302" s="64"/>
      <c r="D302" s="64"/>
      <c r="E302" s="64"/>
      <c r="F302" s="64"/>
      <c r="G302" s="66"/>
      <c r="H302" s="69" t="str">
        <f t="shared" si="8"/>
        <v/>
      </c>
      <c r="I302" s="175" t="str">
        <f t="shared" si="9"/>
        <v/>
      </c>
      <c r="J302" s="65"/>
      <c r="K302" s="64"/>
    </row>
    <row r="303" spans="1:11" x14ac:dyDescent="0.25">
      <c r="A303" s="64"/>
      <c r="B303" s="64"/>
      <c r="C303" s="64"/>
      <c r="D303" s="64"/>
      <c r="E303" s="64"/>
      <c r="F303" s="64"/>
      <c r="G303" s="66"/>
      <c r="H303" s="69" t="str">
        <f t="shared" si="8"/>
        <v/>
      </c>
      <c r="I303" s="175" t="str">
        <f t="shared" si="9"/>
        <v/>
      </c>
      <c r="J303" s="65"/>
      <c r="K303" s="64"/>
    </row>
    <row r="304" spans="1:11" x14ac:dyDescent="0.25">
      <c r="A304" s="64"/>
      <c r="B304" s="64"/>
      <c r="C304" s="64"/>
      <c r="D304" s="64"/>
      <c r="E304" s="64"/>
      <c r="F304" s="64"/>
      <c r="G304" s="66"/>
      <c r="H304" s="69" t="str">
        <f t="shared" si="8"/>
        <v/>
      </c>
      <c r="I304" s="175" t="str">
        <f t="shared" si="9"/>
        <v/>
      </c>
      <c r="J304" s="65"/>
      <c r="K304" s="64"/>
    </row>
    <row r="305" spans="1:11" x14ac:dyDescent="0.25">
      <c r="A305" s="64"/>
      <c r="B305" s="64"/>
      <c r="C305" s="64"/>
      <c r="D305" s="64"/>
      <c r="E305" s="64"/>
      <c r="F305" s="64"/>
      <c r="G305" s="66"/>
      <c r="H305" s="69" t="str">
        <f t="shared" si="8"/>
        <v/>
      </c>
      <c r="I305" s="175" t="str">
        <f t="shared" si="9"/>
        <v/>
      </c>
      <c r="J305" s="65"/>
      <c r="K305" s="64"/>
    </row>
    <row r="306" spans="1:11" x14ac:dyDescent="0.25">
      <c r="A306" s="64"/>
      <c r="B306" s="64"/>
      <c r="C306" s="64"/>
      <c r="D306" s="64"/>
      <c r="E306" s="64"/>
      <c r="F306" s="64"/>
      <c r="G306" s="66"/>
      <c r="H306" s="69" t="str">
        <f t="shared" si="8"/>
        <v/>
      </c>
      <c r="I306" s="175" t="str">
        <f t="shared" si="9"/>
        <v/>
      </c>
      <c r="J306" s="65"/>
      <c r="K306" s="64"/>
    </row>
    <row r="307" spans="1:11" x14ac:dyDescent="0.25">
      <c r="A307" s="64"/>
      <c r="B307" s="64"/>
      <c r="C307" s="64"/>
      <c r="D307" s="64"/>
      <c r="E307" s="64"/>
      <c r="F307" s="64"/>
      <c r="G307" s="66"/>
      <c r="H307" s="69" t="str">
        <f t="shared" si="8"/>
        <v/>
      </c>
      <c r="I307" s="175" t="str">
        <f t="shared" si="9"/>
        <v/>
      </c>
      <c r="J307" s="65"/>
      <c r="K307" s="64"/>
    </row>
    <row r="308" spans="1:11" x14ac:dyDescent="0.25">
      <c r="A308" s="64"/>
      <c r="B308" s="64"/>
      <c r="C308" s="64"/>
      <c r="D308" s="64"/>
      <c r="E308" s="64"/>
      <c r="F308" s="64"/>
      <c r="G308" s="66"/>
      <c r="H308" s="69" t="str">
        <f t="shared" si="8"/>
        <v/>
      </c>
      <c r="I308" s="175" t="str">
        <f t="shared" si="9"/>
        <v/>
      </c>
      <c r="J308" s="65"/>
      <c r="K308" s="64"/>
    </row>
    <row r="309" spans="1:11" x14ac:dyDescent="0.25">
      <c r="A309" s="64"/>
      <c r="B309" s="64"/>
      <c r="C309" s="64"/>
      <c r="D309" s="64"/>
      <c r="E309" s="64"/>
      <c r="F309" s="64"/>
      <c r="G309" s="66"/>
      <c r="H309" s="69" t="str">
        <f t="shared" si="8"/>
        <v/>
      </c>
      <c r="I309" s="175" t="str">
        <f t="shared" si="9"/>
        <v/>
      </c>
      <c r="J309" s="65"/>
      <c r="K309" s="64"/>
    </row>
    <row r="310" spans="1:11" x14ac:dyDescent="0.25">
      <c r="A310" s="64"/>
      <c r="B310" s="64"/>
      <c r="C310" s="64"/>
      <c r="D310" s="64"/>
      <c r="E310" s="64"/>
      <c r="F310" s="64"/>
      <c r="G310" s="66"/>
      <c r="H310" s="69" t="str">
        <f t="shared" si="8"/>
        <v/>
      </c>
      <c r="I310" s="175" t="str">
        <f t="shared" si="9"/>
        <v/>
      </c>
      <c r="J310" s="65"/>
      <c r="K310" s="64"/>
    </row>
    <row r="311" spans="1:11" x14ac:dyDescent="0.25">
      <c r="A311" s="64"/>
      <c r="B311" s="64"/>
      <c r="C311" s="64"/>
      <c r="D311" s="64"/>
      <c r="E311" s="64"/>
      <c r="F311" s="64"/>
      <c r="G311" s="66"/>
      <c r="H311" s="69" t="str">
        <f t="shared" si="8"/>
        <v/>
      </c>
      <c r="I311" s="175" t="str">
        <f t="shared" si="9"/>
        <v/>
      </c>
      <c r="J311" s="65"/>
      <c r="K311" s="64"/>
    </row>
    <row r="312" spans="1:11" x14ac:dyDescent="0.25">
      <c r="A312" s="64"/>
      <c r="B312" s="64"/>
      <c r="C312" s="64"/>
      <c r="D312" s="64"/>
      <c r="E312" s="64"/>
      <c r="F312" s="64"/>
      <c r="G312" s="66"/>
      <c r="H312" s="69" t="str">
        <f t="shared" si="8"/>
        <v/>
      </c>
      <c r="I312" s="175" t="str">
        <f t="shared" si="9"/>
        <v/>
      </c>
      <c r="J312" s="65"/>
      <c r="K312" s="64"/>
    </row>
    <row r="313" spans="1:11" x14ac:dyDescent="0.25">
      <c r="A313" s="64"/>
      <c r="B313" s="64"/>
      <c r="C313" s="64"/>
      <c r="D313" s="64"/>
      <c r="E313" s="64"/>
      <c r="F313" s="64"/>
      <c r="G313" s="66"/>
      <c r="H313" s="69" t="str">
        <f t="shared" si="8"/>
        <v/>
      </c>
      <c r="I313" s="175" t="str">
        <f t="shared" si="9"/>
        <v/>
      </c>
      <c r="J313" s="65"/>
      <c r="K313" s="64"/>
    </row>
    <row r="314" spans="1:11" x14ac:dyDescent="0.25">
      <c r="A314" s="64"/>
      <c r="B314" s="64"/>
      <c r="C314" s="64"/>
      <c r="D314" s="64"/>
      <c r="E314" s="64"/>
      <c r="F314" s="64"/>
      <c r="G314" s="66"/>
      <c r="H314" s="69" t="str">
        <f t="shared" si="8"/>
        <v/>
      </c>
      <c r="I314" s="175" t="str">
        <f t="shared" si="9"/>
        <v/>
      </c>
      <c r="J314" s="65"/>
      <c r="K314" s="64"/>
    </row>
    <row r="315" spans="1:11" x14ac:dyDescent="0.25">
      <c r="A315" s="64"/>
      <c r="B315" s="64"/>
      <c r="C315" s="64"/>
      <c r="D315" s="64"/>
      <c r="E315" s="64"/>
      <c r="F315" s="64"/>
      <c r="G315" s="66"/>
      <c r="H315" s="69" t="str">
        <f t="shared" si="8"/>
        <v/>
      </c>
      <c r="I315" s="175" t="str">
        <f t="shared" si="9"/>
        <v/>
      </c>
      <c r="J315" s="65"/>
      <c r="K315" s="64"/>
    </row>
    <row r="316" spans="1:11" x14ac:dyDescent="0.25">
      <c r="A316" s="64"/>
      <c r="B316" s="64"/>
      <c r="C316" s="64"/>
      <c r="D316" s="64"/>
      <c r="E316" s="64"/>
      <c r="F316" s="64"/>
      <c r="G316" s="66"/>
      <c r="H316" s="69" t="str">
        <f t="shared" si="8"/>
        <v/>
      </c>
      <c r="I316" s="175" t="str">
        <f t="shared" si="9"/>
        <v/>
      </c>
      <c r="J316" s="65"/>
      <c r="K316" s="64"/>
    </row>
    <row r="317" spans="1:11" x14ac:dyDescent="0.25">
      <c r="A317" s="64"/>
      <c r="B317" s="64"/>
      <c r="C317" s="64"/>
      <c r="D317" s="64"/>
      <c r="E317" s="64"/>
      <c r="F317" s="64"/>
      <c r="G317" s="66"/>
      <c r="H317" s="69" t="str">
        <f t="shared" si="8"/>
        <v/>
      </c>
      <c r="I317" s="175" t="str">
        <f t="shared" si="9"/>
        <v/>
      </c>
      <c r="J317" s="65"/>
      <c r="K317" s="64"/>
    </row>
    <row r="318" spans="1:11" x14ac:dyDescent="0.25">
      <c r="A318" s="64"/>
      <c r="B318" s="64"/>
      <c r="C318" s="64"/>
      <c r="D318" s="64"/>
      <c r="E318" s="64"/>
      <c r="F318" s="64"/>
      <c r="G318" s="66"/>
      <c r="H318" s="69" t="str">
        <f t="shared" si="8"/>
        <v/>
      </c>
      <c r="I318" s="175" t="str">
        <f t="shared" si="9"/>
        <v/>
      </c>
      <c r="J318" s="65"/>
      <c r="K318" s="64"/>
    </row>
    <row r="319" spans="1:11" x14ac:dyDescent="0.25">
      <c r="A319" s="64"/>
      <c r="B319" s="64"/>
      <c r="C319" s="64"/>
      <c r="D319" s="64"/>
      <c r="E319" s="64"/>
      <c r="F319" s="64"/>
      <c r="G319" s="66"/>
      <c r="H319" s="69" t="str">
        <f t="shared" si="8"/>
        <v/>
      </c>
      <c r="I319" s="175" t="str">
        <f t="shared" si="9"/>
        <v/>
      </c>
      <c r="J319" s="65"/>
      <c r="K319" s="64"/>
    </row>
    <row r="320" spans="1:11" x14ac:dyDescent="0.25">
      <c r="A320" s="64"/>
      <c r="B320" s="64"/>
      <c r="C320" s="64"/>
      <c r="D320" s="64"/>
      <c r="E320" s="64"/>
      <c r="F320" s="64"/>
      <c r="G320" s="66"/>
      <c r="H320" s="69" t="str">
        <f t="shared" si="8"/>
        <v/>
      </c>
      <c r="I320" s="175" t="str">
        <f t="shared" si="9"/>
        <v/>
      </c>
      <c r="J320" s="65"/>
      <c r="K320" s="64"/>
    </row>
    <row r="321" spans="1:11" x14ac:dyDescent="0.25">
      <c r="A321" s="64"/>
      <c r="B321" s="64"/>
      <c r="C321" s="64"/>
      <c r="D321" s="64"/>
      <c r="E321" s="64"/>
      <c r="F321" s="64"/>
      <c r="G321" s="66"/>
      <c r="H321" s="69" t="str">
        <f t="shared" si="8"/>
        <v/>
      </c>
      <c r="I321" s="175" t="str">
        <f t="shared" si="9"/>
        <v/>
      </c>
      <c r="J321" s="65"/>
      <c r="K321" s="64"/>
    </row>
    <row r="322" spans="1:11" x14ac:dyDescent="0.25">
      <c r="A322" s="64"/>
      <c r="B322" s="64"/>
      <c r="C322" s="64"/>
      <c r="D322" s="64"/>
      <c r="E322" s="64"/>
      <c r="F322" s="64"/>
      <c r="G322" s="66"/>
      <c r="H322" s="69" t="str">
        <f t="shared" si="8"/>
        <v/>
      </c>
      <c r="I322" s="175" t="str">
        <f t="shared" si="9"/>
        <v/>
      </c>
      <c r="J322" s="65"/>
      <c r="K322" s="64"/>
    </row>
    <row r="323" spans="1:11" x14ac:dyDescent="0.25">
      <c r="A323" s="64"/>
      <c r="B323" s="64"/>
      <c r="C323" s="64"/>
      <c r="D323" s="64"/>
      <c r="E323" s="64"/>
      <c r="F323" s="64"/>
      <c r="G323" s="66"/>
      <c r="H323" s="69" t="str">
        <f t="shared" ref="H323:H386" si="10">IFERROR(IF(OR(E323="",G323=""),"",E323*G323),"")</f>
        <v/>
      </c>
      <c r="I323" s="175" t="str">
        <f t="shared" ref="I323:I386" si="11">IF(A323="","",IF(E323="","",IF(E323&lt;=F323*0.5,"Critical",IF(E323&lt;=F323,"Reorder","OK"))))</f>
        <v/>
      </c>
      <c r="J323" s="65"/>
      <c r="K323" s="64"/>
    </row>
    <row r="324" spans="1:11" x14ac:dyDescent="0.25">
      <c r="A324" s="64"/>
      <c r="B324" s="64"/>
      <c r="C324" s="64"/>
      <c r="D324" s="64"/>
      <c r="E324" s="64"/>
      <c r="F324" s="64"/>
      <c r="G324" s="66"/>
      <c r="H324" s="69" t="str">
        <f t="shared" si="10"/>
        <v/>
      </c>
      <c r="I324" s="175" t="str">
        <f t="shared" si="11"/>
        <v/>
      </c>
      <c r="J324" s="65"/>
      <c r="K324" s="64"/>
    </row>
    <row r="325" spans="1:11" x14ac:dyDescent="0.25">
      <c r="A325" s="64"/>
      <c r="B325" s="64"/>
      <c r="C325" s="64"/>
      <c r="D325" s="64"/>
      <c r="E325" s="64"/>
      <c r="F325" s="64"/>
      <c r="G325" s="66"/>
      <c r="H325" s="69" t="str">
        <f t="shared" si="10"/>
        <v/>
      </c>
      <c r="I325" s="175" t="str">
        <f t="shared" si="11"/>
        <v/>
      </c>
      <c r="J325" s="65"/>
      <c r="K325" s="64"/>
    </row>
    <row r="326" spans="1:11" x14ac:dyDescent="0.25">
      <c r="A326" s="64"/>
      <c r="B326" s="64"/>
      <c r="C326" s="64"/>
      <c r="D326" s="64"/>
      <c r="E326" s="64"/>
      <c r="F326" s="64"/>
      <c r="G326" s="66"/>
      <c r="H326" s="69" t="str">
        <f t="shared" si="10"/>
        <v/>
      </c>
      <c r="I326" s="175" t="str">
        <f t="shared" si="11"/>
        <v/>
      </c>
      <c r="J326" s="65"/>
      <c r="K326" s="64"/>
    </row>
    <row r="327" spans="1:11" x14ac:dyDescent="0.25">
      <c r="A327" s="64"/>
      <c r="B327" s="64"/>
      <c r="C327" s="64"/>
      <c r="D327" s="64"/>
      <c r="E327" s="64"/>
      <c r="F327" s="64"/>
      <c r="G327" s="66"/>
      <c r="H327" s="69" t="str">
        <f t="shared" si="10"/>
        <v/>
      </c>
      <c r="I327" s="175" t="str">
        <f t="shared" si="11"/>
        <v/>
      </c>
      <c r="J327" s="65"/>
      <c r="K327" s="64"/>
    </row>
    <row r="328" spans="1:11" x14ac:dyDescent="0.25">
      <c r="A328" s="64"/>
      <c r="B328" s="64"/>
      <c r="C328" s="64"/>
      <c r="D328" s="64"/>
      <c r="E328" s="64"/>
      <c r="F328" s="64"/>
      <c r="G328" s="66"/>
      <c r="H328" s="69" t="str">
        <f t="shared" si="10"/>
        <v/>
      </c>
      <c r="I328" s="175" t="str">
        <f t="shared" si="11"/>
        <v/>
      </c>
      <c r="J328" s="65"/>
      <c r="K328" s="64"/>
    </row>
    <row r="329" spans="1:11" x14ac:dyDescent="0.25">
      <c r="A329" s="64"/>
      <c r="B329" s="64"/>
      <c r="C329" s="64"/>
      <c r="D329" s="64"/>
      <c r="E329" s="64"/>
      <c r="F329" s="64"/>
      <c r="G329" s="66"/>
      <c r="H329" s="69" t="str">
        <f t="shared" si="10"/>
        <v/>
      </c>
      <c r="I329" s="175" t="str">
        <f t="shared" si="11"/>
        <v/>
      </c>
      <c r="J329" s="65"/>
      <c r="K329" s="64"/>
    </row>
    <row r="330" spans="1:11" x14ac:dyDescent="0.25">
      <c r="A330" s="64"/>
      <c r="B330" s="64"/>
      <c r="C330" s="64"/>
      <c r="D330" s="64"/>
      <c r="E330" s="64"/>
      <c r="F330" s="64"/>
      <c r="G330" s="66"/>
      <c r="H330" s="69" t="str">
        <f t="shared" si="10"/>
        <v/>
      </c>
      <c r="I330" s="175" t="str">
        <f t="shared" si="11"/>
        <v/>
      </c>
      <c r="J330" s="65"/>
      <c r="K330" s="64"/>
    </row>
    <row r="331" spans="1:11" x14ac:dyDescent="0.25">
      <c r="A331" s="64"/>
      <c r="B331" s="64"/>
      <c r="C331" s="64"/>
      <c r="D331" s="64"/>
      <c r="E331" s="64"/>
      <c r="F331" s="64"/>
      <c r="G331" s="66"/>
      <c r="H331" s="69" t="str">
        <f t="shared" si="10"/>
        <v/>
      </c>
      <c r="I331" s="175" t="str">
        <f t="shared" si="11"/>
        <v/>
      </c>
      <c r="J331" s="65"/>
      <c r="K331" s="64"/>
    </row>
    <row r="332" spans="1:11" x14ac:dyDescent="0.25">
      <c r="A332" s="64"/>
      <c r="B332" s="64"/>
      <c r="C332" s="64"/>
      <c r="D332" s="64"/>
      <c r="E332" s="64"/>
      <c r="F332" s="64"/>
      <c r="G332" s="66"/>
      <c r="H332" s="69" t="str">
        <f t="shared" si="10"/>
        <v/>
      </c>
      <c r="I332" s="175" t="str">
        <f t="shared" si="11"/>
        <v/>
      </c>
      <c r="J332" s="65"/>
      <c r="K332" s="64"/>
    </row>
    <row r="333" spans="1:11" x14ac:dyDescent="0.25">
      <c r="A333" s="64"/>
      <c r="B333" s="64"/>
      <c r="C333" s="64"/>
      <c r="D333" s="64"/>
      <c r="E333" s="64"/>
      <c r="F333" s="64"/>
      <c r="G333" s="66"/>
      <c r="H333" s="69" t="str">
        <f t="shared" si="10"/>
        <v/>
      </c>
      <c r="I333" s="175" t="str">
        <f t="shared" si="11"/>
        <v/>
      </c>
      <c r="J333" s="65"/>
      <c r="K333" s="64"/>
    </row>
    <row r="334" spans="1:11" x14ac:dyDescent="0.25">
      <c r="A334" s="64"/>
      <c r="B334" s="64"/>
      <c r="C334" s="64"/>
      <c r="D334" s="64"/>
      <c r="E334" s="64"/>
      <c r="F334" s="64"/>
      <c r="G334" s="66"/>
      <c r="H334" s="69" t="str">
        <f t="shared" si="10"/>
        <v/>
      </c>
      <c r="I334" s="175" t="str">
        <f t="shared" si="11"/>
        <v/>
      </c>
      <c r="J334" s="65"/>
      <c r="K334" s="64"/>
    </row>
    <row r="335" spans="1:11" x14ac:dyDescent="0.25">
      <c r="A335" s="64"/>
      <c r="B335" s="64"/>
      <c r="C335" s="64"/>
      <c r="D335" s="64"/>
      <c r="E335" s="64"/>
      <c r="F335" s="64"/>
      <c r="G335" s="66"/>
      <c r="H335" s="69" t="str">
        <f t="shared" si="10"/>
        <v/>
      </c>
      <c r="I335" s="175" t="str">
        <f t="shared" si="11"/>
        <v/>
      </c>
      <c r="J335" s="65"/>
      <c r="K335" s="64"/>
    </row>
    <row r="336" spans="1:11" x14ac:dyDescent="0.25">
      <c r="A336" s="64"/>
      <c r="B336" s="64"/>
      <c r="C336" s="64"/>
      <c r="D336" s="64"/>
      <c r="E336" s="64"/>
      <c r="F336" s="64"/>
      <c r="G336" s="66"/>
      <c r="H336" s="69" t="str">
        <f t="shared" si="10"/>
        <v/>
      </c>
      <c r="I336" s="175" t="str">
        <f t="shared" si="11"/>
        <v/>
      </c>
      <c r="J336" s="65"/>
      <c r="K336" s="64"/>
    </row>
    <row r="337" spans="1:11" x14ac:dyDescent="0.25">
      <c r="A337" s="64"/>
      <c r="B337" s="64"/>
      <c r="C337" s="64"/>
      <c r="D337" s="64"/>
      <c r="E337" s="64"/>
      <c r="F337" s="64"/>
      <c r="G337" s="66"/>
      <c r="H337" s="69" t="str">
        <f t="shared" si="10"/>
        <v/>
      </c>
      <c r="I337" s="175" t="str">
        <f t="shared" si="11"/>
        <v/>
      </c>
      <c r="J337" s="65"/>
      <c r="K337" s="64"/>
    </row>
    <row r="338" spans="1:11" x14ac:dyDescent="0.25">
      <c r="A338" s="64"/>
      <c r="B338" s="64"/>
      <c r="C338" s="64"/>
      <c r="D338" s="64"/>
      <c r="E338" s="64"/>
      <c r="F338" s="64"/>
      <c r="G338" s="66"/>
      <c r="H338" s="69" t="str">
        <f t="shared" si="10"/>
        <v/>
      </c>
      <c r="I338" s="175" t="str">
        <f t="shared" si="11"/>
        <v/>
      </c>
      <c r="J338" s="65"/>
      <c r="K338" s="64"/>
    </row>
    <row r="339" spans="1:11" x14ac:dyDescent="0.25">
      <c r="A339" s="64"/>
      <c r="B339" s="64"/>
      <c r="C339" s="64"/>
      <c r="D339" s="64"/>
      <c r="E339" s="64"/>
      <c r="F339" s="64"/>
      <c r="G339" s="66"/>
      <c r="H339" s="69" t="str">
        <f t="shared" si="10"/>
        <v/>
      </c>
      <c r="I339" s="175" t="str">
        <f t="shared" si="11"/>
        <v/>
      </c>
      <c r="J339" s="65"/>
      <c r="K339" s="64"/>
    </row>
    <row r="340" spans="1:11" x14ac:dyDescent="0.25">
      <c r="A340" s="64"/>
      <c r="B340" s="64"/>
      <c r="C340" s="64"/>
      <c r="D340" s="64"/>
      <c r="E340" s="64"/>
      <c r="F340" s="64"/>
      <c r="G340" s="66"/>
      <c r="H340" s="69" t="str">
        <f t="shared" si="10"/>
        <v/>
      </c>
      <c r="I340" s="175" t="str">
        <f t="shared" si="11"/>
        <v/>
      </c>
      <c r="J340" s="65"/>
      <c r="K340" s="64"/>
    </row>
    <row r="341" spans="1:11" x14ac:dyDescent="0.25">
      <c r="A341" s="64"/>
      <c r="B341" s="64"/>
      <c r="C341" s="64"/>
      <c r="D341" s="64"/>
      <c r="E341" s="64"/>
      <c r="F341" s="64"/>
      <c r="G341" s="66"/>
      <c r="H341" s="69" t="str">
        <f t="shared" si="10"/>
        <v/>
      </c>
      <c r="I341" s="175" t="str">
        <f t="shared" si="11"/>
        <v/>
      </c>
      <c r="J341" s="65"/>
      <c r="K341" s="64"/>
    </row>
    <row r="342" spans="1:11" x14ac:dyDescent="0.25">
      <c r="A342" s="64"/>
      <c r="B342" s="64"/>
      <c r="C342" s="64"/>
      <c r="D342" s="64"/>
      <c r="E342" s="64"/>
      <c r="F342" s="64"/>
      <c r="G342" s="66"/>
      <c r="H342" s="69" t="str">
        <f t="shared" si="10"/>
        <v/>
      </c>
      <c r="I342" s="175" t="str">
        <f t="shared" si="11"/>
        <v/>
      </c>
      <c r="J342" s="65"/>
      <c r="K342" s="64"/>
    </row>
    <row r="343" spans="1:11" x14ac:dyDescent="0.25">
      <c r="A343" s="64"/>
      <c r="B343" s="64"/>
      <c r="C343" s="64"/>
      <c r="D343" s="64"/>
      <c r="E343" s="64"/>
      <c r="F343" s="64"/>
      <c r="G343" s="66"/>
      <c r="H343" s="69" t="str">
        <f t="shared" si="10"/>
        <v/>
      </c>
      <c r="I343" s="175" t="str">
        <f t="shared" si="11"/>
        <v/>
      </c>
      <c r="J343" s="65"/>
      <c r="K343" s="64"/>
    </row>
    <row r="344" spans="1:11" x14ac:dyDescent="0.25">
      <c r="A344" s="64"/>
      <c r="B344" s="64"/>
      <c r="C344" s="64"/>
      <c r="D344" s="64"/>
      <c r="E344" s="64"/>
      <c r="F344" s="64"/>
      <c r="G344" s="66"/>
      <c r="H344" s="69" t="str">
        <f t="shared" si="10"/>
        <v/>
      </c>
      <c r="I344" s="175" t="str">
        <f t="shared" si="11"/>
        <v/>
      </c>
      <c r="J344" s="65"/>
      <c r="K344" s="64"/>
    </row>
    <row r="345" spans="1:11" x14ac:dyDescent="0.25">
      <c r="A345" s="64"/>
      <c r="B345" s="64"/>
      <c r="C345" s="64"/>
      <c r="D345" s="64"/>
      <c r="E345" s="64"/>
      <c r="F345" s="64"/>
      <c r="G345" s="66"/>
      <c r="H345" s="69" t="str">
        <f t="shared" si="10"/>
        <v/>
      </c>
      <c r="I345" s="175" t="str">
        <f t="shared" si="11"/>
        <v/>
      </c>
      <c r="J345" s="65"/>
      <c r="K345" s="64"/>
    </row>
    <row r="346" spans="1:11" x14ac:dyDescent="0.25">
      <c r="A346" s="64"/>
      <c r="B346" s="64"/>
      <c r="C346" s="64"/>
      <c r="D346" s="64"/>
      <c r="E346" s="64"/>
      <c r="F346" s="64"/>
      <c r="G346" s="66"/>
      <c r="H346" s="69" t="str">
        <f t="shared" si="10"/>
        <v/>
      </c>
      <c r="I346" s="175" t="str">
        <f t="shared" si="11"/>
        <v/>
      </c>
      <c r="J346" s="65"/>
      <c r="K346" s="64"/>
    </row>
    <row r="347" spans="1:11" x14ac:dyDescent="0.25">
      <c r="A347" s="64"/>
      <c r="B347" s="64"/>
      <c r="C347" s="64"/>
      <c r="D347" s="64"/>
      <c r="E347" s="64"/>
      <c r="F347" s="64"/>
      <c r="G347" s="66"/>
      <c r="H347" s="69" t="str">
        <f t="shared" si="10"/>
        <v/>
      </c>
      <c r="I347" s="175" t="str">
        <f t="shared" si="11"/>
        <v/>
      </c>
      <c r="J347" s="65"/>
      <c r="K347" s="64"/>
    </row>
    <row r="348" spans="1:11" x14ac:dyDescent="0.25">
      <c r="A348" s="64"/>
      <c r="B348" s="64"/>
      <c r="C348" s="64"/>
      <c r="D348" s="64"/>
      <c r="E348" s="64"/>
      <c r="F348" s="64"/>
      <c r="G348" s="66"/>
      <c r="H348" s="69" t="str">
        <f t="shared" si="10"/>
        <v/>
      </c>
      <c r="I348" s="175" t="str">
        <f t="shared" si="11"/>
        <v/>
      </c>
      <c r="J348" s="65"/>
      <c r="K348" s="64"/>
    </row>
    <row r="349" spans="1:11" x14ac:dyDescent="0.25">
      <c r="A349" s="64"/>
      <c r="B349" s="64"/>
      <c r="C349" s="64"/>
      <c r="D349" s="64"/>
      <c r="E349" s="64"/>
      <c r="F349" s="64"/>
      <c r="G349" s="66"/>
      <c r="H349" s="69" t="str">
        <f t="shared" si="10"/>
        <v/>
      </c>
      <c r="I349" s="175" t="str">
        <f t="shared" si="11"/>
        <v/>
      </c>
      <c r="J349" s="65"/>
      <c r="K349" s="64"/>
    </row>
    <row r="350" spans="1:11" x14ac:dyDescent="0.25">
      <c r="A350" s="64"/>
      <c r="B350" s="64"/>
      <c r="C350" s="64"/>
      <c r="D350" s="64"/>
      <c r="E350" s="64"/>
      <c r="F350" s="64"/>
      <c r="G350" s="66"/>
      <c r="H350" s="69" t="str">
        <f t="shared" si="10"/>
        <v/>
      </c>
      <c r="I350" s="175" t="str">
        <f t="shared" si="11"/>
        <v/>
      </c>
      <c r="J350" s="65"/>
      <c r="K350" s="64"/>
    </row>
    <row r="351" spans="1:11" x14ac:dyDescent="0.25">
      <c r="A351" s="64"/>
      <c r="B351" s="64"/>
      <c r="C351" s="64"/>
      <c r="D351" s="64"/>
      <c r="E351" s="64"/>
      <c r="F351" s="64"/>
      <c r="G351" s="66"/>
      <c r="H351" s="69" t="str">
        <f t="shared" si="10"/>
        <v/>
      </c>
      <c r="I351" s="175" t="str">
        <f t="shared" si="11"/>
        <v/>
      </c>
      <c r="J351" s="65"/>
      <c r="K351" s="64"/>
    </row>
    <row r="352" spans="1:11" x14ac:dyDescent="0.25">
      <c r="A352" s="64"/>
      <c r="B352" s="64"/>
      <c r="C352" s="64"/>
      <c r="D352" s="64"/>
      <c r="E352" s="64"/>
      <c r="F352" s="64"/>
      <c r="G352" s="66"/>
      <c r="H352" s="69" t="str">
        <f t="shared" si="10"/>
        <v/>
      </c>
      <c r="I352" s="175" t="str">
        <f t="shared" si="11"/>
        <v/>
      </c>
      <c r="J352" s="65"/>
      <c r="K352" s="64"/>
    </row>
    <row r="353" spans="1:11" x14ac:dyDescent="0.25">
      <c r="A353" s="64"/>
      <c r="B353" s="64"/>
      <c r="C353" s="64"/>
      <c r="D353" s="64"/>
      <c r="E353" s="64"/>
      <c r="F353" s="64"/>
      <c r="G353" s="66"/>
      <c r="H353" s="69" t="str">
        <f t="shared" si="10"/>
        <v/>
      </c>
      <c r="I353" s="175" t="str">
        <f t="shared" si="11"/>
        <v/>
      </c>
      <c r="J353" s="65"/>
      <c r="K353" s="64"/>
    </row>
    <row r="354" spans="1:11" x14ac:dyDescent="0.25">
      <c r="A354" s="64"/>
      <c r="B354" s="64"/>
      <c r="C354" s="64"/>
      <c r="D354" s="64"/>
      <c r="E354" s="64"/>
      <c r="F354" s="64"/>
      <c r="G354" s="66"/>
      <c r="H354" s="69" t="str">
        <f t="shared" si="10"/>
        <v/>
      </c>
      <c r="I354" s="175" t="str">
        <f t="shared" si="11"/>
        <v/>
      </c>
      <c r="J354" s="65"/>
      <c r="K354" s="64"/>
    </row>
    <row r="355" spans="1:11" x14ac:dyDescent="0.25">
      <c r="A355" s="64"/>
      <c r="B355" s="64"/>
      <c r="C355" s="64"/>
      <c r="D355" s="64"/>
      <c r="E355" s="64"/>
      <c r="F355" s="64"/>
      <c r="G355" s="66"/>
      <c r="H355" s="69" t="str">
        <f t="shared" si="10"/>
        <v/>
      </c>
      <c r="I355" s="175" t="str">
        <f t="shared" si="11"/>
        <v/>
      </c>
      <c r="J355" s="65"/>
      <c r="K355" s="64"/>
    </row>
    <row r="356" spans="1:11" x14ac:dyDescent="0.25">
      <c r="A356" s="64"/>
      <c r="B356" s="64"/>
      <c r="C356" s="64"/>
      <c r="D356" s="64"/>
      <c r="E356" s="64"/>
      <c r="F356" s="64"/>
      <c r="G356" s="66"/>
      <c r="H356" s="69" t="str">
        <f t="shared" si="10"/>
        <v/>
      </c>
      <c r="I356" s="175" t="str">
        <f t="shared" si="11"/>
        <v/>
      </c>
      <c r="J356" s="65"/>
      <c r="K356" s="64"/>
    </row>
    <row r="357" spans="1:11" x14ac:dyDescent="0.25">
      <c r="A357" s="64"/>
      <c r="B357" s="64"/>
      <c r="C357" s="64"/>
      <c r="D357" s="64"/>
      <c r="E357" s="64"/>
      <c r="F357" s="64"/>
      <c r="G357" s="66"/>
      <c r="H357" s="69" t="str">
        <f t="shared" si="10"/>
        <v/>
      </c>
      <c r="I357" s="175" t="str">
        <f t="shared" si="11"/>
        <v/>
      </c>
      <c r="J357" s="65"/>
      <c r="K357" s="64"/>
    </row>
    <row r="358" spans="1:11" x14ac:dyDescent="0.25">
      <c r="A358" s="64"/>
      <c r="B358" s="64"/>
      <c r="C358" s="64"/>
      <c r="D358" s="64"/>
      <c r="E358" s="64"/>
      <c r="F358" s="64"/>
      <c r="G358" s="66"/>
      <c r="H358" s="69" t="str">
        <f t="shared" si="10"/>
        <v/>
      </c>
      <c r="I358" s="175" t="str">
        <f t="shared" si="11"/>
        <v/>
      </c>
      <c r="J358" s="65"/>
      <c r="K358" s="64"/>
    </row>
    <row r="359" spans="1:11" x14ac:dyDescent="0.25">
      <c r="A359" s="64"/>
      <c r="B359" s="64"/>
      <c r="C359" s="64"/>
      <c r="D359" s="64"/>
      <c r="E359" s="64"/>
      <c r="F359" s="64"/>
      <c r="G359" s="66"/>
      <c r="H359" s="69" t="str">
        <f t="shared" si="10"/>
        <v/>
      </c>
      <c r="I359" s="175" t="str">
        <f t="shared" si="11"/>
        <v/>
      </c>
      <c r="J359" s="65"/>
      <c r="K359" s="64"/>
    </row>
    <row r="360" spans="1:11" x14ac:dyDescent="0.25">
      <c r="A360" s="64"/>
      <c r="B360" s="64"/>
      <c r="C360" s="64"/>
      <c r="D360" s="64"/>
      <c r="E360" s="64"/>
      <c r="F360" s="64"/>
      <c r="G360" s="66"/>
      <c r="H360" s="69" t="str">
        <f t="shared" si="10"/>
        <v/>
      </c>
      <c r="I360" s="175" t="str">
        <f t="shared" si="11"/>
        <v/>
      </c>
      <c r="J360" s="65"/>
      <c r="K360" s="64"/>
    </row>
    <row r="361" spans="1:11" x14ac:dyDescent="0.25">
      <c r="A361" s="64"/>
      <c r="B361" s="64"/>
      <c r="C361" s="64"/>
      <c r="D361" s="64"/>
      <c r="E361" s="64"/>
      <c r="F361" s="64"/>
      <c r="G361" s="66"/>
      <c r="H361" s="69" t="str">
        <f t="shared" si="10"/>
        <v/>
      </c>
      <c r="I361" s="175" t="str">
        <f t="shared" si="11"/>
        <v/>
      </c>
      <c r="J361" s="65"/>
      <c r="K361" s="64"/>
    </row>
    <row r="362" spans="1:11" x14ac:dyDescent="0.25">
      <c r="A362" s="64"/>
      <c r="B362" s="64"/>
      <c r="C362" s="64"/>
      <c r="D362" s="64"/>
      <c r="E362" s="64"/>
      <c r="F362" s="64"/>
      <c r="G362" s="66"/>
      <c r="H362" s="69" t="str">
        <f t="shared" si="10"/>
        <v/>
      </c>
      <c r="I362" s="175" t="str">
        <f t="shared" si="11"/>
        <v/>
      </c>
      <c r="J362" s="65"/>
      <c r="K362" s="64"/>
    </row>
    <row r="363" spans="1:11" x14ac:dyDescent="0.25">
      <c r="A363" s="64"/>
      <c r="B363" s="64"/>
      <c r="C363" s="64"/>
      <c r="D363" s="64"/>
      <c r="E363" s="64"/>
      <c r="F363" s="64"/>
      <c r="G363" s="66"/>
      <c r="H363" s="69" t="str">
        <f t="shared" si="10"/>
        <v/>
      </c>
      <c r="I363" s="175" t="str">
        <f t="shared" si="11"/>
        <v/>
      </c>
      <c r="J363" s="65"/>
      <c r="K363" s="64"/>
    </row>
    <row r="364" spans="1:11" x14ac:dyDescent="0.25">
      <c r="A364" s="64"/>
      <c r="B364" s="64"/>
      <c r="C364" s="64"/>
      <c r="D364" s="64"/>
      <c r="E364" s="64"/>
      <c r="F364" s="64"/>
      <c r="G364" s="66"/>
      <c r="H364" s="69" t="str">
        <f t="shared" si="10"/>
        <v/>
      </c>
      <c r="I364" s="175" t="str">
        <f t="shared" si="11"/>
        <v/>
      </c>
      <c r="J364" s="65"/>
      <c r="K364" s="64"/>
    </row>
    <row r="365" spans="1:11" x14ac:dyDescent="0.25">
      <c r="A365" s="64"/>
      <c r="B365" s="64"/>
      <c r="C365" s="64"/>
      <c r="D365" s="64"/>
      <c r="E365" s="64"/>
      <c r="F365" s="64"/>
      <c r="G365" s="66"/>
      <c r="H365" s="69" t="str">
        <f t="shared" si="10"/>
        <v/>
      </c>
      <c r="I365" s="175" t="str">
        <f t="shared" si="11"/>
        <v/>
      </c>
      <c r="J365" s="65"/>
      <c r="K365" s="64"/>
    </row>
    <row r="366" spans="1:11" x14ac:dyDescent="0.25">
      <c r="A366" s="64"/>
      <c r="B366" s="64"/>
      <c r="C366" s="64"/>
      <c r="D366" s="64"/>
      <c r="E366" s="64"/>
      <c r="F366" s="64"/>
      <c r="G366" s="66"/>
      <c r="H366" s="69" t="str">
        <f t="shared" si="10"/>
        <v/>
      </c>
      <c r="I366" s="175" t="str">
        <f t="shared" si="11"/>
        <v/>
      </c>
      <c r="J366" s="65"/>
      <c r="K366" s="64"/>
    </row>
    <row r="367" spans="1:11" x14ac:dyDescent="0.25">
      <c r="A367" s="64"/>
      <c r="B367" s="64"/>
      <c r="C367" s="64"/>
      <c r="D367" s="64"/>
      <c r="E367" s="64"/>
      <c r="F367" s="64"/>
      <c r="G367" s="66"/>
      <c r="H367" s="69" t="str">
        <f t="shared" si="10"/>
        <v/>
      </c>
      <c r="I367" s="175" t="str">
        <f t="shared" si="11"/>
        <v/>
      </c>
      <c r="J367" s="65"/>
      <c r="K367" s="64"/>
    </row>
    <row r="368" spans="1:11" x14ac:dyDescent="0.25">
      <c r="A368" s="64"/>
      <c r="B368" s="64"/>
      <c r="C368" s="64"/>
      <c r="D368" s="64"/>
      <c r="E368" s="64"/>
      <c r="F368" s="64"/>
      <c r="G368" s="66"/>
      <c r="H368" s="69" t="str">
        <f t="shared" si="10"/>
        <v/>
      </c>
      <c r="I368" s="175" t="str">
        <f t="shared" si="11"/>
        <v/>
      </c>
      <c r="J368" s="65"/>
      <c r="K368" s="64"/>
    </row>
    <row r="369" spans="1:11" x14ac:dyDescent="0.25">
      <c r="A369" s="64"/>
      <c r="B369" s="64"/>
      <c r="C369" s="64"/>
      <c r="D369" s="64"/>
      <c r="E369" s="64"/>
      <c r="F369" s="64"/>
      <c r="G369" s="66"/>
      <c r="H369" s="69" t="str">
        <f t="shared" si="10"/>
        <v/>
      </c>
      <c r="I369" s="175" t="str">
        <f t="shared" si="11"/>
        <v/>
      </c>
      <c r="J369" s="65"/>
      <c r="K369" s="64"/>
    </row>
    <row r="370" spans="1:11" x14ac:dyDescent="0.25">
      <c r="A370" s="64"/>
      <c r="B370" s="64"/>
      <c r="C370" s="64"/>
      <c r="D370" s="64"/>
      <c r="E370" s="64"/>
      <c r="F370" s="64"/>
      <c r="G370" s="66"/>
      <c r="H370" s="69" t="str">
        <f t="shared" si="10"/>
        <v/>
      </c>
      <c r="I370" s="175" t="str">
        <f t="shared" si="11"/>
        <v/>
      </c>
      <c r="J370" s="65"/>
      <c r="K370" s="64"/>
    </row>
    <row r="371" spans="1:11" x14ac:dyDescent="0.25">
      <c r="A371" s="64"/>
      <c r="B371" s="64"/>
      <c r="C371" s="64"/>
      <c r="D371" s="64"/>
      <c r="E371" s="64"/>
      <c r="F371" s="64"/>
      <c r="G371" s="66"/>
      <c r="H371" s="69" t="str">
        <f t="shared" si="10"/>
        <v/>
      </c>
      <c r="I371" s="175" t="str">
        <f t="shared" si="11"/>
        <v/>
      </c>
      <c r="J371" s="65"/>
      <c r="K371" s="64"/>
    </row>
    <row r="372" spans="1:11" x14ac:dyDescent="0.25">
      <c r="A372" s="64"/>
      <c r="B372" s="64"/>
      <c r="C372" s="64"/>
      <c r="D372" s="64"/>
      <c r="E372" s="64"/>
      <c r="F372" s="64"/>
      <c r="G372" s="66"/>
      <c r="H372" s="69" t="str">
        <f t="shared" si="10"/>
        <v/>
      </c>
      <c r="I372" s="175" t="str">
        <f t="shared" si="11"/>
        <v/>
      </c>
      <c r="J372" s="65"/>
      <c r="K372" s="64"/>
    </row>
    <row r="373" spans="1:11" x14ac:dyDescent="0.25">
      <c r="A373" s="64"/>
      <c r="B373" s="64"/>
      <c r="C373" s="64"/>
      <c r="D373" s="64"/>
      <c r="E373" s="64"/>
      <c r="F373" s="64"/>
      <c r="G373" s="66"/>
      <c r="H373" s="69" t="str">
        <f t="shared" si="10"/>
        <v/>
      </c>
      <c r="I373" s="175" t="str">
        <f t="shared" si="11"/>
        <v/>
      </c>
      <c r="J373" s="65"/>
      <c r="K373" s="64"/>
    </row>
    <row r="374" spans="1:11" x14ac:dyDescent="0.25">
      <c r="A374" s="64"/>
      <c r="B374" s="64"/>
      <c r="C374" s="64"/>
      <c r="D374" s="64"/>
      <c r="E374" s="64"/>
      <c r="F374" s="64"/>
      <c r="G374" s="66"/>
      <c r="H374" s="69" t="str">
        <f t="shared" si="10"/>
        <v/>
      </c>
      <c r="I374" s="175" t="str">
        <f t="shared" si="11"/>
        <v/>
      </c>
      <c r="J374" s="65"/>
      <c r="K374" s="64"/>
    </row>
    <row r="375" spans="1:11" x14ac:dyDescent="0.25">
      <c r="A375" s="64"/>
      <c r="B375" s="64"/>
      <c r="C375" s="64"/>
      <c r="D375" s="64"/>
      <c r="E375" s="64"/>
      <c r="F375" s="64"/>
      <c r="G375" s="66"/>
      <c r="H375" s="69" t="str">
        <f t="shared" si="10"/>
        <v/>
      </c>
      <c r="I375" s="175" t="str">
        <f t="shared" si="11"/>
        <v/>
      </c>
      <c r="J375" s="65"/>
      <c r="K375" s="64"/>
    </row>
    <row r="376" spans="1:11" x14ac:dyDescent="0.25">
      <c r="A376" s="64"/>
      <c r="B376" s="64"/>
      <c r="C376" s="64"/>
      <c r="D376" s="64"/>
      <c r="E376" s="64"/>
      <c r="F376" s="64"/>
      <c r="G376" s="66"/>
      <c r="H376" s="69" t="str">
        <f t="shared" si="10"/>
        <v/>
      </c>
      <c r="I376" s="175" t="str">
        <f t="shared" si="11"/>
        <v/>
      </c>
      <c r="J376" s="65"/>
      <c r="K376" s="64"/>
    </row>
    <row r="377" spans="1:11" x14ac:dyDescent="0.25">
      <c r="A377" s="64"/>
      <c r="B377" s="64"/>
      <c r="C377" s="64"/>
      <c r="D377" s="64"/>
      <c r="E377" s="64"/>
      <c r="F377" s="64"/>
      <c r="G377" s="66"/>
      <c r="H377" s="69" t="str">
        <f t="shared" si="10"/>
        <v/>
      </c>
      <c r="I377" s="175" t="str">
        <f t="shared" si="11"/>
        <v/>
      </c>
      <c r="J377" s="65"/>
      <c r="K377" s="64"/>
    </row>
    <row r="378" spans="1:11" x14ac:dyDescent="0.25">
      <c r="A378" s="64"/>
      <c r="B378" s="64"/>
      <c r="C378" s="64"/>
      <c r="D378" s="64"/>
      <c r="E378" s="64"/>
      <c r="F378" s="64"/>
      <c r="G378" s="66"/>
      <c r="H378" s="69" t="str">
        <f t="shared" si="10"/>
        <v/>
      </c>
      <c r="I378" s="175" t="str">
        <f t="shared" si="11"/>
        <v/>
      </c>
      <c r="J378" s="65"/>
      <c r="K378" s="64"/>
    </row>
    <row r="379" spans="1:11" x14ac:dyDescent="0.25">
      <c r="A379" s="64"/>
      <c r="B379" s="64"/>
      <c r="C379" s="64"/>
      <c r="D379" s="64"/>
      <c r="E379" s="64"/>
      <c r="F379" s="64"/>
      <c r="G379" s="66"/>
      <c r="H379" s="69" t="str">
        <f t="shared" si="10"/>
        <v/>
      </c>
      <c r="I379" s="175" t="str">
        <f t="shared" si="11"/>
        <v/>
      </c>
      <c r="J379" s="65"/>
      <c r="K379" s="64"/>
    </row>
    <row r="380" spans="1:11" x14ac:dyDescent="0.25">
      <c r="A380" s="64"/>
      <c r="B380" s="64"/>
      <c r="C380" s="64"/>
      <c r="D380" s="64"/>
      <c r="E380" s="64"/>
      <c r="F380" s="64"/>
      <c r="G380" s="66"/>
      <c r="H380" s="69" t="str">
        <f t="shared" si="10"/>
        <v/>
      </c>
      <c r="I380" s="175" t="str">
        <f t="shared" si="11"/>
        <v/>
      </c>
      <c r="J380" s="65"/>
      <c r="K380" s="64"/>
    </row>
    <row r="381" spans="1:11" x14ac:dyDescent="0.25">
      <c r="A381" s="64"/>
      <c r="B381" s="64"/>
      <c r="C381" s="64"/>
      <c r="D381" s="64"/>
      <c r="E381" s="64"/>
      <c r="F381" s="64"/>
      <c r="G381" s="66"/>
      <c r="H381" s="69" t="str">
        <f t="shared" si="10"/>
        <v/>
      </c>
      <c r="I381" s="175" t="str">
        <f t="shared" si="11"/>
        <v/>
      </c>
      <c r="J381" s="65"/>
      <c r="K381" s="64"/>
    </row>
    <row r="382" spans="1:11" x14ac:dyDescent="0.25">
      <c r="A382" s="64"/>
      <c r="B382" s="64"/>
      <c r="C382" s="64"/>
      <c r="D382" s="64"/>
      <c r="E382" s="64"/>
      <c r="F382" s="64"/>
      <c r="G382" s="66"/>
      <c r="H382" s="69" t="str">
        <f t="shared" si="10"/>
        <v/>
      </c>
      <c r="I382" s="175" t="str">
        <f t="shared" si="11"/>
        <v/>
      </c>
      <c r="J382" s="65"/>
      <c r="K382" s="64"/>
    </row>
    <row r="383" spans="1:11" x14ac:dyDescent="0.25">
      <c r="A383" s="64"/>
      <c r="B383" s="64"/>
      <c r="C383" s="64"/>
      <c r="D383" s="64"/>
      <c r="E383" s="64"/>
      <c r="F383" s="64"/>
      <c r="G383" s="66"/>
      <c r="H383" s="69" t="str">
        <f t="shared" si="10"/>
        <v/>
      </c>
      <c r="I383" s="175" t="str">
        <f t="shared" si="11"/>
        <v/>
      </c>
      <c r="J383" s="65"/>
      <c r="K383" s="64"/>
    </row>
    <row r="384" spans="1:11" x14ac:dyDescent="0.25">
      <c r="A384" s="64"/>
      <c r="B384" s="64"/>
      <c r="C384" s="64"/>
      <c r="D384" s="64"/>
      <c r="E384" s="64"/>
      <c r="F384" s="64"/>
      <c r="G384" s="66"/>
      <c r="H384" s="69" t="str">
        <f t="shared" si="10"/>
        <v/>
      </c>
      <c r="I384" s="175" t="str">
        <f t="shared" si="11"/>
        <v/>
      </c>
      <c r="J384" s="65"/>
      <c r="K384" s="64"/>
    </row>
    <row r="385" spans="1:11" x14ac:dyDescent="0.25">
      <c r="A385" s="64"/>
      <c r="B385" s="64"/>
      <c r="C385" s="64"/>
      <c r="D385" s="64"/>
      <c r="E385" s="64"/>
      <c r="F385" s="64"/>
      <c r="G385" s="66"/>
      <c r="H385" s="69" t="str">
        <f t="shared" si="10"/>
        <v/>
      </c>
      <c r="I385" s="175" t="str">
        <f t="shared" si="11"/>
        <v/>
      </c>
      <c r="J385" s="65"/>
      <c r="K385" s="64"/>
    </row>
    <row r="386" spans="1:11" x14ac:dyDescent="0.25">
      <c r="A386" s="64"/>
      <c r="B386" s="64"/>
      <c r="C386" s="64"/>
      <c r="D386" s="64"/>
      <c r="E386" s="64"/>
      <c r="F386" s="64"/>
      <c r="G386" s="66"/>
      <c r="H386" s="69" t="str">
        <f t="shared" si="10"/>
        <v/>
      </c>
      <c r="I386" s="175" t="str">
        <f t="shared" si="11"/>
        <v/>
      </c>
      <c r="J386" s="65"/>
      <c r="K386" s="64"/>
    </row>
    <row r="387" spans="1:11" x14ac:dyDescent="0.25">
      <c r="A387" s="64"/>
      <c r="B387" s="64"/>
      <c r="C387" s="64"/>
      <c r="D387" s="64"/>
      <c r="E387" s="64"/>
      <c r="F387" s="64"/>
      <c r="G387" s="66"/>
      <c r="H387" s="69" t="str">
        <f t="shared" ref="H387:H450" si="12">IFERROR(IF(OR(E387="",G387=""),"",E387*G387),"")</f>
        <v/>
      </c>
      <c r="I387" s="175" t="str">
        <f t="shared" ref="I387:I450" si="13">IF(A387="","",IF(E387="","",IF(E387&lt;=F387*0.5,"Critical",IF(E387&lt;=F387,"Reorder","OK"))))</f>
        <v/>
      </c>
      <c r="J387" s="65"/>
      <c r="K387" s="64"/>
    </row>
    <row r="388" spans="1:11" x14ac:dyDescent="0.25">
      <c r="A388" s="64"/>
      <c r="B388" s="64"/>
      <c r="C388" s="64"/>
      <c r="D388" s="64"/>
      <c r="E388" s="64"/>
      <c r="F388" s="64"/>
      <c r="G388" s="66"/>
      <c r="H388" s="69" t="str">
        <f t="shared" si="12"/>
        <v/>
      </c>
      <c r="I388" s="175" t="str">
        <f t="shared" si="13"/>
        <v/>
      </c>
      <c r="J388" s="65"/>
      <c r="K388" s="64"/>
    </row>
    <row r="389" spans="1:11" x14ac:dyDescent="0.25">
      <c r="A389" s="64"/>
      <c r="B389" s="64"/>
      <c r="C389" s="64"/>
      <c r="D389" s="64"/>
      <c r="E389" s="64"/>
      <c r="F389" s="64"/>
      <c r="G389" s="66"/>
      <c r="H389" s="69" t="str">
        <f t="shared" si="12"/>
        <v/>
      </c>
      <c r="I389" s="175" t="str">
        <f t="shared" si="13"/>
        <v/>
      </c>
      <c r="J389" s="65"/>
      <c r="K389" s="64"/>
    </row>
    <row r="390" spans="1:11" x14ac:dyDescent="0.25">
      <c r="A390" s="64"/>
      <c r="B390" s="64"/>
      <c r="C390" s="64"/>
      <c r="D390" s="64"/>
      <c r="E390" s="64"/>
      <c r="F390" s="64"/>
      <c r="G390" s="66"/>
      <c r="H390" s="69" t="str">
        <f t="shared" si="12"/>
        <v/>
      </c>
      <c r="I390" s="175" t="str">
        <f t="shared" si="13"/>
        <v/>
      </c>
      <c r="J390" s="65"/>
      <c r="K390" s="64"/>
    </row>
    <row r="391" spans="1:11" x14ac:dyDescent="0.25">
      <c r="A391" s="64"/>
      <c r="B391" s="64"/>
      <c r="C391" s="64"/>
      <c r="D391" s="64"/>
      <c r="E391" s="64"/>
      <c r="F391" s="64"/>
      <c r="G391" s="66"/>
      <c r="H391" s="69" t="str">
        <f t="shared" si="12"/>
        <v/>
      </c>
      <c r="I391" s="175" t="str">
        <f t="shared" si="13"/>
        <v/>
      </c>
      <c r="J391" s="65"/>
      <c r="K391" s="64"/>
    </row>
    <row r="392" spans="1:11" x14ac:dyDescent="0.25">
      <c r="A392" s="64"/>
      <c r="B392" s="64"/>
      <c r="C392" s="64"/>
      <c r="D392" s="64"/>
      <c r="E392" s="64"/>
      <c r="F392" s="64"/>
      <c r="G392" s="66"/>
      <c r="H392" s="69" t="str">
        <f t="shared" si="12"/>
        <v/>
      </c>
      <c r="I392" s="175" t="str">
        <f t="shared" si="13"/>
        <v/>
      </c>
      <c r="J392" s="65"/>
      <c r="K392" s="64"/>
    </row>
    <row r="393" spans="1:11" x14ac:dyDescent="0.25">
      <c r="A393" s="64"/>
      <c r="B393" s="64"/>
      <c r="C393" s="64"/>
      <c r="D393" s="64"/>
      <c r="E393" s="64"/>
      <c r="F393" s="64"/>
      <c r="G393" s="66"/>
      <c r="H393" s="69" t="str">
        <f t="shared" si="12"/>
        <v/>
      </c>
      <c r="I393" s="175" t="str">
        <f t="shared" si="13"/>
        <v/>
      </c>
      <c r="J393" s="65"/>
      <c r="K393" s="64"/>
    </row>
    <row r="394" spans="1:11" x14ac:dyDescent="0.25">
      <c r="A394" s="64"/>
      <c r="B394" s="64"/>
      <c r="C394" s="64"/>
      <c r="D394" s="64"/>
      <c r="E394" s="64"/>
      <c r="F394" s="64"/>
      <c r="G394" s="66"/>
      <c r="H394" s="69" t="str">
        <f t="shared" si="12"/>
        <v/>
      </c>
      <c r="I394" s="175" t="str">
        <f t="shared" si="13"/>
        <v/>
      </c>
      <c r="J394" s="65"/>
      <c r="K394" s="64"/>
    </row>
    <row r="395" spans="1:11" x14ac:dyDescent="0.25">
      <c r="A395" s="64"/>
      <c r="B395" s="64"/>
      <c r="C395" s="64"/>
      <c r="D395" s="64"/>
      <c r="E395" s="64"/>
      <c r="F395" s="64"/>
      <c r="G395" s="66"/>
      <c r="H395" s="69" t="str">
        <f t="shared" si="12"/>
        <v/>
      </c>
      <c r="I395" s="175" t="str">
        <f t="shared" si="13"/>
        <v/>
      </c>
      <c r="J395" s="65"/>
      <c r="K395" s="64"/>
    </row>
    <row r="396" spans="1:11" x14ac:dyDescent="0.25">
      <c r="A396" s="64"/>
      <c r="B396" s="64"/>
      <c r="C396" s="64"/>
      <c r="D396" s="64"/>
      <c r="E396" s="64"/>
      <c r="F396" s="64"/>
      <c r="G396" s="66"/>
      <c r="H396" s="69" t="str">
        <f t="shared" si="12"/>
        <v/>
      </c>
      <c r="I396" s="175" t="str">
        <f t="shared" si="13"/>
        <v/>
      </c>
      <c r="J396" s="65"/>
      <c r="K396" s="64"/>
    </row>
    <row r="397" spans="1:11" x14ac:dyDescent="0.25">
      <c r="A397" s="64"/>
      <c r="B397" s="64"/>
      <c r="C397" s="64"/>
      <c r="D397" s="64"/>
      <c r="E397" s="64"/>
      <c r="F397" s="64"/>
      <c r="G397" s="66"/>
      <c r="H397" s="69" t="str">
        <f t="shared" si="12"/>
        <v/>
      </c>
      <c r="I397" s="175" t="str">
        <f t="shared" si="13"/>
        <v/>
      </c>
      <c r="J397" s="65"/>
      <c r="K397" s="64"/>
    </row>
    <row r="398" spans="1:11" x14ac:dyDescent="0.25">
      <c r="A398" s="64"/>
      <c r="B398" s="64"/>
      <c r="C398" s="64"/>
      <c r="D398" s="64"/>
      <c r="E398" s="64"/>
      <c r="F398" s="64"/>
      <c r="G398" s="66"/>
      <c r="H398" s="69" t="str">
        <f t="shared" si="12"/>
        <v/>
      </c>
      <c r="I398" s="175" t="str">
        <f t="shared" si="13"/>
        <v/>
      </c>
      <c r="J398" s="65"/>
      <c r="K398" s="64"/>
    </row>
    <row r="399" spans="1:11" x14ac:dyDescent="0.25">
      <c r="A399" s="64"/>
      <c r="B399" s="64"/>
      <c r="C399" s="64"/>
      <c r="D399" s="64"/>
      <c r="E399" s="64"/>
      <c r="F399" s="64"/>
      <c r="G399" s="66"/>
      <c r="H399" s="69" t="str">
        <f t="shared" si="12"/>
        <v/>
      </c>
      <c r="I399" s="175" t="str">
        <f t="shared" si="13"/>
        <v/>
      </c>
      <c r="J399" s="65"/>
      <c r="K399" s="64"/>
    </row>
    <row r="400" spans="1:11" x14ac:dyDescent="0.25">
      <c r="A400" s="64"/>
      <c r="B400" s="64"/>
      <c r="C400" s="64"/>
      <c r="D400" s="64"/>
      <c r="E400" s="64"/>
      <c r="F400" s="64"/>
      <c r="G400" s="66"/>
      <c r="H400" s="69" t="str">
        <f t="shared" si="12"/>
        <v/>
      </c>
      <c r="I400" s="175" t="str">
        <f t="shared" si="13"/>
        <v/>
      </c>
      <c r="J400" s="65"/>
      <c r="K400" s="64"/>
    </row>
    <row r="401" spans="1:11" x14ac:dyDescent="0.25">
      <c r="A401" s="64"/>
      <c r="B401" s="64"/>
      <c r="C401" s="64"/>
      <c r="D401" s="64"/>
      <c r="E401" s="64"/>
      <c r="F401" s="64"/>
      <c r="G401" s="66"/>
      <c r="H401" s="69" t="str">
        <f t="shared" si="12"/>
        <v/>
      </c>
      <c r="I401" s="175" t="str">
        <f t="shared" si="13"/>
        <v/>
      </c>
      <c r="J401" s="65"/>
      <c r="K401" s="64"/>
    </row>
    <row r="402" spans="1:11" x14ac:dyDescent="0.25">
      <c r="A402" s="64"/>
      <c r="B402" s="64"/>
      <c r="C402" s="64"/>
      <c r="D402" s="64"/>
      <c r="E402" s="64"/>
      <c r="F402" s="64"/>
      <c r="G402" s="66"/>
      <c r="H402" s="69" t="str">
        <f t="shared" si="12"/>
        <v/>
      </c>
      <c r="I402" s="175" t="str">
        <f t="shared" si="13"/>
        <v/>
      </c>
      <c r="J402" s="65"/>
      <c r="K402" s="64"/>
    </row>
    <row r="403" spans="1:11" x14ac:dyDescent="0.25">
      <c r="A403" s="64"/>
      <c r="B403" s="64"/>
      <c r="C403" s="64"/>
      <c r="D403" s="64"/>
      <c r="E403" s="64"/>
      <c r="F403" s="64"/>
      <c r="G403" s="66"/>
      <c r="H403" s="69" t="str">
        <f t="shared" si="12"/>
        <v/>
      </c>
      <c r="I403" s="175" t="str">
        <f t="shared" si="13"/>
        <v/>
      </c>
      <c r="J403" s="65"/>
      <c r="K403" s="64"/>
    </row>
    <row r="404" spans="1:11" x14ac:dyDescent="0.25">
      <c r="A404" s="64"/>
      <c r="B404" s="64"/>
      <c r="C404" s="64"/>
      <c r="D404" s="64"/>
      <c r="E404" s="64"/>
      <c r="F404" s="64"/>
      <c r="G404" s="66"/>
      <c r="H404" s="69" t="str">
        <f t="shared" si="12"/>
        <v/>
      </c>
      <c r="I404" s="175" t="str">
        <f t="shared" si="13"/>
        <v/>
      </c>
      <c r="J404" s="65"/>
      <c r="K404" s="64"/>
    </row>
    <row r="405" spans="1:11" x14ac:dyDescent="0.25">
      <c r="A405" s="64"/>
      <c r="B405" s="64"/>
      <c r="C405" s="64"/>
      <c r="D405" s="64"/>
      <c r="E405" s="64"/>
      <c r="F405" s="64"/>
      <c r="G405" s="66"/>
      <c r="H405" s="69" t="str">
        <f t="shared" si="12"/>
        <v/>
      </c>
      <c r="I405" s="175" t="str">
        <f t="shared" si="13"/>
        <v/>
      </c>
      <c r="J405" s="65"/>
      <c r="K405" s="64"/>
    </row>
    <row r="406" spans="1:11" x14ac:dyDescent="0.25">
      <c r="A406" s="64"/>
      <c r="B406" s="64"/>
      <c r="C406" s="64"/>
      <c r="D406" s="64"/>
      <c r="E406" s="64"/>
      <c r="F406" s="64"/>
      <c r="G406" s="66"/>
      <c r="H406" s="69" t="str">
        <f t="shared" si="12"/>
        <v/>
      </c>
      <c r="I406" s="175" t="str">
        <f t="shared" si="13"/>
        <v/>
      </c>
      <c r="J406" s="65"/>
      <c r="K406" s="64"/>
    </row>
    <row r="407" spans="1:11" x14ac:dyDescent="0.25">
      <c r="A407" s="64"/>
      <c r="B407" s="64"/>
      <c r="C407" s="64"/>
      <c r="D407" s="64"/>
      <c r="E407" s="64"/>
      <c r="F407" s="64"/>
      <c r="G407" s="66"/>
      <c r="H407" s="69" t="str">
        <f t="shared" si="12"/>
        <v/>
      </c>
      <c r="I407" s="175" t="str">
        <f t="shared" si="13"/>
        <v/>
      </c>
      <c r="J407" s="65"/>
      <c r="K407" s="64"/>
    </row>
    <row r="408" spans="1:11" x14ac:dyDescent="0.25">
      <c r="A408" s="64"/>
      <c r="B408" s="64"/>
      <c r="C408" s="64"/>
      <c r="D408" s="64"/>
      <c r="E408" s="64"/>
      <c r="F408" s="64"/>
      <c r="G408" s="66"/>
      <c r="H408" s="69" t="str">
        <f t="shared" si="12"/>
        <v/>
      </c>
      <c r="I408" s="175" t="str">
        <f t="shared" si="13"/>
        <v/>
      </c>
      <c r="J408" s="65"/>
      <c r="K408" s="64"/>
    </row>
    <row r="409" spans="1:11" x14ac:dyDescent="0.25">
      <c r="A409" s="64"/>
      <c r="B409" s="64"/>
      <c r="C409" s="64"/>
      <c r="D409" s="64"/>
      <c r="E409" s="64"/>
      <c r="F409" s="64"/>
      <c r="G409" s="66"/>
      <c r="H409" s="69" t="str">
        <f t="shared" si="12"/>
        <v/>
      </c>
      <c r="I409" s="175" t="str">
        <f t="shared" si="13"/>
        <v/>
      </c>
      <c r="J409" s="65"/>
      <c r="K409" s="64"/>
    </row>
    <row r="410" spans="1:11" x14ac:dyDescent="0.25">
      <c r="A410" s="64"/>
      <c r="B410" s="64"/>
      <c r="C410" s="64"/>
      <c r="D410" s="64"/>
      <c r="E410" s="64"/>
      <c r="F410" s="64"/>
      <c r="G410" s="66"/>
      <c r="H410" s="69" t="str">
        <f t="shared" si="12"/>
        <v/>
      </c>
      <c r="I410" s="175" t="str">
        <f t="shared" si="13"/>
        <v/>
      </c>
      <c r="J410" s="65"/>
      <c r="K410" s="64"/>
    </row>
    <row r="411" spans="1:11" x14ac:dyDescent="0.25">
      <c r="A411" s="64"/>
      <c r="B411" s="64"/>
      <c r="C411" s="64"/>
      <c r="D411" s="64"/>
      <c r="E411" s="64"/>
      <c r="F411" s="64"/>
      <c r="G411" s="66"/>
      <c r="H411" s="69" t="str">
        <f t="shared" si="12"/>
        <v/>
      </c>
      <c r="I411" s="175" t="str">
        <f t="shared" si="13"/>
        <v/>
      </c>
      <c r="J411" s="65"/>
      <c r="K411" s="64"/>
    </row>
    <row r="412" spans="1:11" x14ac:dyDescent="0.25">
      <c r="A412" s="64"/>
      <c r="B412" s="64"/>
      <c r="C412" s="64"/>
      <c r="D412" s="64"/>
      <c r="E412" s="64"/>
      <c r="F412" s="64"/>
      <c r="G412" s="66"/>
      <c r="H412" s="69" t="str">
        <f t="shared" si="12"/>
        <v/>
      </c>
      <c r="I412" s="175" t="str">
        <f t="shared" si="13"/>
        <v/>
      </c>
      <c r="J412" s="65"/>
      <c r="K412" s="64"/>
    </row>
    <row r="413" spans="1:11" x14ac:dyDescent="0.25">
      <c r="A413" s="64"/>
      <c r="B413" s="64"/>
      <c r="C413" s="64"/>
      <c r="D413" s="64"/>
      <c r="E413" s="64"/>
      <c r="F413" s="64"/>
      <c r="G413" s="66"/>
      <c r="H413" s="69" t="str">
        <f t="shared" si="12"/>
        <v/>
      </c>
      <c r="I413" s="175" t="str">
        <f t="shared" si="13"/>
        <v/>
      </c>
      <c r="J413" s="65"/>
      <c r="K413" s="64"/>
    </row>
    <row r="414" spans="1:11" x14ac:dyDescent="0.25">
      <c r="A414" s="64"/>
      <c r="B414" s="64"/>
      <c r="C414" s="64"/>
      <c r="D414" s="64"/>
      <c r="E414" s="64"/>
      <c r="F414" s="64"/>
      <c r="G414" s="66"/>
      <c r="H414" s="69" t="str">
        <f t="shared" si="12"/>
        <v/>
      </c>
      <c r="I414" s="175" t="str">
        <f t="shared" si="13"/>
        <v/>
      </c>
      <c r="J414" s="65"/>
      <c r="K414" s="64"/>
    </row>
    <row r="415" spans="1:11" x14ac:dyDescent="0.25">
      <c r="A415" s="64"/>
      <c r="B415" s="64"/>
      <c r="C415" s="64"/>
      <c r="D415" s="64"/>
      <c r="E415" s="64"/>
      <c r="F415" s="64"/>
      <c r="G415" s="66"/>
      <c r="H415" s="69" t="str">
        <f t="shared" si="12"/>
        <v/>
      </c>
      <c r="I415" s="175" t="str">
        <f t="shared" si="13"/>
        <v/>
      </c>
      <c r="J415" s="65"/>
      <c r="K415" s="64"/>
    </row>
    <row r="416" spans="1:11" x14ac:dyDescent="0.25">
      <c r="A416" s="64"/>
      <c r="B416" s="64"/>
      <c r="C416" s="64"/>
      <c r="D416" s="64"/>
      <c r="E416" s="64"/>
      <c r="F416" s="64"/>
      <c r="G416" s="66"/>
      <c r="H416" s="69" t="str">
        <f t="shared" si="12"/>
        <v/>
      </c>
      <c r="I416" s="175" t="str">
        <f t="shared" si="13"/>
        <v/>
      </c>
      <c r="J416" s="65"/>
      <c r="K416" s="64"/>
    </row>
    <row r="417" spans="1:11" x14ac:dyDescent="0.25">
      <c r="A417" s="64"/>
      <c r="B417" s="64"/>
      <c r="C417" s="64"/>
      <c r="D417" s="64"/>
      <c r="E417" s="64"/>
      <c r="F417" s="64"/>
      <c r="G417" s="66"/>
      <c r="H417" s="69" t="str">
        <f t="shared" si="12"/>
        <v/>
      </c>
      <c r="I417" s="175" t="str">
        <f t="shared" si="13"/>
        <v/>
      </c>
      <c r="J417" s="65"/>
      <c r="K417" s="64"/>
    </row>
    <row r="418" spans="1:11" x14ac:dyDescent="0.25">
      <c r="A418" s="64"/>
      <c r="B418" s="64"/>
      <c r="C418" s="64"/>
      <c r="D418" s="64"/>
      <c r="E418" s="64"/>
      <c r="F418" s="64"/>
      <c r="G418" s="66"/>
      <c r="H418" s="69" t="str">
        <f t="shared" si="12"/>
        <v/>
      </c>
      <c r="I418" s="175" t="str">
        <f t="shared" si="13"/>
        <v/>
      </c>
      <c r="J418" s="65"/>
      <c r="K418" s="64"/>
    </row>
    <row r="419" spans="1:11" x14ac:dyDescent="0.25">
      <c r="A419" s="64"/>
      <c r="B419" s="64"/>
      <c r="C419" s="64"/>
      <c r="D419" s="64"/>
      <c r="E419" s="64"/>
      <c r="F419" s="64"/>
      <c r="G419" s="66"/>
      <c r="H419" s="69" t="str">
        <f t="shared" si="12"/>
        <v/>
      </c>
      <c r="I419" s="175" t="str">
        <f t="shared" si="13"/>
        <v/>
      </c>
      <c r="J419" s="65"/>
      <c r="K419" s="64"/>
    </row>
    <row r="420" spans="1:11" x14ac:dyDescent="0.25">
      <c r="A420" s="64"/>
      <c r="B420" s="64"/>
      <c r="C420" s="64"/>
      <c r="D420" s="64"/>
      <c r="E420" s="64"/>
      <c r="F420" s="64"/>
      <c r="G420" s="66"/>
      <c r="H420" s="69" t="str">
        <f t="shared" si="12"/>
        <v/>
      </c>
      <c r="I420" s="175" t="str">
        <f t="shared" si="13"/>
        <v/>
      </c>
      <c r="J420" s="65"/>
      <c r="K420" s="64"/>
    </row>
    <row r="421" spans="1:11" x14ac:dyDescent="0.25">
      <c r="A421" s="64"/>
      <c r="B421" s="64"/>
      <c r="C421" s="64"/>
      <c r="D421" s="64"/>
      <c r="E421" s="64"/>
      <c r="F421" s="64"/>
      <c r="G421" s="66"/>
      <c r="H421" s="69" t="str">
        <f t="shared" si="12"/>
        <v/>
      </c>
      <c r="I421" s="175" t="str">
        <f t="shared" si="13"/>
        <v/>
      </c>
      <c r="J421" s="65"/>
      <c r="K421" s="64"/>
    </row>
    <row r="422" spans="1:11" x14ac:dyDescent="0.25">
      <c r="A422" s="64"/>
      <c r="B422" s="64"/>
      <c r="C422" s="64"/>
      <c r="D422" s="64"/>
      <c r="E422" s="64"/>
      <c r="F422" s="64"/>
      <c r="G422" s="66"/>
      <c r="H422" s="69" t="str">
        <f t="shared" si="12"/>
        <v/>
      </c>
      <c r="I422" s="175" t="str">
        <f t="shared" si="13"/>
        <v/>
      </c>
      <c r="J422" s="65"/>
      <c r="K422" s="64"/>
    </row>
    <row r="423" spans="1:11" x14ac:dyDescent="0.25">
      <c r="A423" s="64"/>
      <c r="B423" s="64"/>
      <c r="C423" s="64"/>
      <c r="D423" s="64"/>
      <c r="E423" s="64"/>
      <c r="F423" s="64"/>
      <c r="G423" s="66"/>
      <c r="H423" s="69" t="str">
        <f t="shared" si="12"/>
        <v/>
      </c>
      <c r="I423" s="175" t="str">
        <f t="shared" si="13"/>
        <v/>
      </c>
      <c r="J423" s="65"/>
      <c r="K423" s="64"/>
    </row>
    <row r="424" spans="1:11" x14ac:dyDescent="0.25">
      <c r="A424" s="64"/>
      <c r="B424" s="64"/>
      <c r="C424" s="64"/>
      <c r="D424" s="64"/>
      <c r="E424" s="64"/>
      <c r="F424" s="64"/>
      <c r="G424" s="66"/>
      <c r="H424" s="69" t="str">
        <f t="shared" si="12"/>
        <v/>
      </c>
      <c r="I424" s="175" t="str">
        <f t="shared" si="13"/>
        <v/>
      </c>
      <c r="J424" s="65"/>
      <c r="K424" s="64"/>
    </row>
    <row r="425" spans="1:11" x14ac:dyDescent="0.25">
      <c r="A425" s="64"/>
      <c r="B425" s="64"/>
      <c r="C425" s="64"/>
      <c r="D425" s="64"/>
      <c r="E425" s="64"/>
      <c r="F425" s="64"/>
      <c r="G425" s="66"/>
      <c r="H425" s="69" t="str">
        <f t="shared" si="12"/>
        <v/>
      </c>
      <c r="I425" s="175" t="str">
        <f t="shared" si="13"/>
        <v/>
      </c>
      <c r="J425" s="65"/>
      <c r="K425" s="64"/>
    </row>
    <row r="426" spans="1:11" x14ac:dyDescent="0.25">
      <c r="A426" s="64"/>
      <c r="B426" s="64"/>
      <c r="C426" s="64"/>
      <c r="D426" s="64"/>
      <c r="E426" s="64"/>
      <c r="F426" s="64"/>
      <c r="G426" s="66"/>
      <c r="H426" s="69" t="str">
        <f t="shared" si="12"/>
        <v/>
      </c>
      <c r="I426" s="175" t="str">
        <f t="shared" si="13"/>
        <v/>
      </c>
      <c r="J426" s="65"/>
      <c r="K426" s="64"/>
    </row>
    <row r="427" spans="1:11" x14ac:dyDescent="0.25">
      <c r="A427" s="64"/>
      <c r="B427" s="64"/>
      <c r="C427" s="64"/>
      <c r="D427" s="64"/>
      <c r="E427" s="64"/>
      <c r="F427" s="64"/>
      <c r="G427" s="66"/>
      <c r="H427" s="69" t="str">
        <f t="shared" si="12"/>
        <v/>
      </c>
      <c r="I427" s="175" t="str">
        <f t="shared" si="13"/>
        <v/>
      </c>
      <c r="J427" s="65"/>
      <c r="K427" s="64"/>
    </row>
    <row r="428" spans="1:11" x14ac:dyDescent="0.25">
      <c r="A428" s="64"/>
      <c r="B428" s="64"/>
      <c r="C428" s="64"/>
      <c r="D428" s="64"/>
      <c r="E428" s="64"/>
      <c r="F428" s="64"/>
      <c r="G428" s="66"/>
      <c r="H428" s="69" t="str">
        <f t="shared" si="12"/>
        <v/>
      </c>
      <c r="I428" s="175" t="str">
        <f t="shared" si="13"/>
        <v/>
      </c>
      <c r="J428" s="65"/>
      <c r="K428" s="64"/>
    </row>
    <row r="429" spans="1:11" x14ac:dyDescent="0.25">
      <c r="A429" s="64"/>
      <c r="B429" s="64"/>
      <c r="C429" s="64"/>
      <c r="D429" s="64"/>
      <c r="E429" s="64"/>
      <c r="F429" s="64"/>
      <c r="G429" s="66"/>
      <c r="H429" s="69" t="str">
        <f t="shared" si="12"/>
        <v/>
      </c>
      <c r="I429" s="175" t="str">
        <f t="shared" si="13"/>
        <v/>
      </c>
      <c r="J429" s="65"/>
      <c r="K429" s="64"/>
    </row>
    <row r="430" spans="1:11" x14ac:dyDescent="0.25">
      <c r="A430" s="64"/>
      <c r="B430" s="64"/>
      <c r="C430" s="64"/>
      <c r="D430" s="64"/>
      <c r="E430" s="64"/>
      <c r="F430" s="64"/>
      <c r="G430" s="66"/>
      <c r="H430" s="69" t="str">
        <f t="shared" si="12"/>
        <v/>
      </c>
      <c r="I430" s="175" t="str">
        <f t="shared" si="13"/>
        <v/>
      </c>
      <c r="J430" s="65"/>
      <c r="K430" s="64"/>
    </row>
    <row r="431" spans="1:11" x14ac:dyDescent="0.25">
      <c r="A431" s="64"/>
      <c r="B431" s="64"/>
      <c r="C431" s="64"/>
      <c r="D431" s="64"/>
      <c r="E431" s="64"/>
      <c r="F431" s="64"/>
      <c r="G431" s="66"/>
      <c r="H431" s="69" t="str">
        <f t="shared" si="12"/>
        <v/>
      </c>
      <c r="I431" s="175" t="str">
        <f t="shared" si="13"/>
        <v/>
      </c>
      <c r="J431" s="65"/>
      <c r="K431" s="64"/>
    </row>
    <row r="432" spans="1:11" x14ac:dyDescent="0.25">
      <c r="A432" s="64"/>
      <c r="B432" s="64"/>
      <c r="C432" s="64"/>
      <c r="D432" s="64"/>
      <c r="E432" s="64"/>
      <c r="F432" s="64"/>
      <c r="G432" s="66"/>
      <c r="H432" s="69" t="str">
        <f t="shared" si="12"/>
        <v/>
      </c>
      <c r="I432" s="175" t="str">
        <f t="shared" si="13"/>
        <v/>
      </c>
      <c r="J432" s="65"/>
      <c r="K432" s="64"/>
    </row>
    <row r="433" spans="1:11" x14ac:dyDescent="0.25">
      <c r="A433" s="64"/>
      <c r="B433" s="64"/>
      <c r="C433" s="64"/>
      <c r="D433" s="64"/>
      <c r="E433" s="64"/>
      <c r="F433" s="64"/>
      <c r="G433" s="66"/>
      <c r="H433" s="69" t="str">
        <f t="shared" si="12"/>
        <v/>
      </c>
      <c r="I433" s="175" t="str">
        <f t="shared" si="13"/>
        <v/>
      </c>
      <c r="J433" s="65"/>
      <c r="K433" s="64"/>
    </row>
    <row r="434" spans="1:11" x14ac:dyDescent="0.25">
      <c r="A434" s="64"/>
      <c r="B434" s="64"/>
      <c r="C434" s="64"/>
      <c r="D434" s="64"/>
      <c r="E434" s="64"/>
      <c r="F434" s="64"/>
      <c r="G434" s="66"/>
      <c r="H434" s="69" t="str">
        <f t="shared" si="12"/>
        <v/>
      </c>
      <c r="I434" s="175" t="str">
        <f t="shared" si="13"/>
        <v/>
      </c>
      <c r="J434" s="65"/>
      <c r="K434" s="64"/>
    </row>
    <row r="435" spans="1:11" x14ac:dyDescent="0.25">
      <c r="A435" s="64"/>
      <c r="B435" s="64"/>
      <c r="C435" s="64"/>
      <c r="D435" s="64"/>
      <c r="E435" s="64"/>
      <c r="F435" s="64"/>
      <c r="G435" s="66"/>
      <c r="H435" s="69" t="str">
        <f t="shared" si="12"/>
        <v/>
      </c>
      <c r="I435" s="175" t="str">
        <f t="shared" si="13"/>
        <v/>
      </c>
      <c r="J435" s="65"/>
      <c r="K435" s="64"/>
    </row>
    <row r="436" spans="1:11" x14ac:dyDescent="0.25">
      <c r="A436" s="64"/>
      <c r="B436" s="64"/>
      <c r="C436" s="64"/>
      <c r="D436" s="64"/>
      <c r="E436" s="64"/>
      <c r="F436" s="64"/>
      <c r="G436" s="66"/>
      <c r="H436" s="69" t="str">
        <f t="shared" si="12"/>
        <v/>
      </c>
      <c r="I436" s="175" t="str">
        <f t="shared" si="13"/>
        <v/>
      </c>
      <c r="J436" s="65"/>
      <c r="K436" s="64"/>
    </row>
    <row r="437" spans="1:11" x14ac:dyDescent="0.25">
      <c r="A437" s="64"/>
      <c r="B437" s="64"/>
      <c r="C437" s="64"/>
      <c r="D437" s="64"/>
      <c r="E437" s="64"/>
      <c r="F437" s="64"/>
      <c r="G437" s="66"/>
      <c r="H437" s="69" t="str">
        <f t="shared" si="12"/>
        <v/>
      </c>
      <c r="I437" s="175" t="str">
        <f t="shared" si="13"/>
        <v/>
      </c>
      <c r="J437" s="65"/>
      <c r="K437" s="64"/>
    </row>
    <row r="438" spans="1:11" x14ac:dyDescent="0.25">
      <c r="A438" s="64"/>
      <c r="B438" s="64"/>
      <c r="C438" s="64"/>
      <c r="D438" s="64"/>
      <c r="E438" s="64"/>
      <c r="F438" s="64"/>
      <c r="G438" s="66"/>
      <c r="H438" s="69" t="str">
        <f t="shared" si="12"/>
        <v/>
      </c>
      <c r="I438" s="175" t="str">
        <f t="shared" si="13"/>
        <v/>
      </c>
      <c r="J438" s="65"/>
      <c r="K438" s="64"/>
    </row>
    <row r="439" spans="1:11" x14ac:dyDescent="0.25">
      <c r="A439" s="64"/>
      <c r="B439" s="64"/>
      <c r="C439" s="64"/>
      <c r="D439" s="64"/>
      <c r="E439" s="64"/>
      <c r="F439" s="64"/>
      <c r="G439" s="66"/>
      <c r="H439" s="69" t="str">
        <f t="shared" si="12"/>
        <v/>
      </c>
      <c r="I439" s="175" t="str">
        <f t="shared" si="13"/>
        <v/>
      </c>
      <c r="J439" s="65"/>
      <c r="K439" s="64"/>
    </row>
    <row r="440" spans="1:11" x14ac:dyDescent="0.25">
      <c r="A440" s="64"/>
      <c r="B440" s="64"/>
      <c r="C440" s="64"/>
      <c r="D440" s="64"/>
      <c r="E440" s="64"/>
      <c r="F440" s="64"/>
      <c r="G440" s="66"/>
      <c r="H440" s="69" t="str">
        <f t="shared" si="12"/>
        <v/>
      </c>
      <c r="I440" s="175" t="str">
        <f t="shared" si="13"/>
        <v/>
      </c>
      <c r="J440" s="65"/>
      <c r="K440" s="64"/>
    </row>
    <row r="441" spans="1:11" x14ac:dyDescent="0.25">
      <c r="A441" s="64"/>
      <c r="B441" s="64"/>
      <c r="C441" s="64"/>
      <c r="D441" s="64"/>
      <c r="E441" s="64"/>
      <c r="F441" s="64"/>
      <c r="G441" s="66"/>
      <c r="H441" s="69" t="str">
        <f t="shared" si="12"/>
        <v/>
      </c>
      <c r="I441" s="175" t="str">
        <f t="shared" si="13"/>
        <v/>
      </c>
      <c r="J441" s="65"/>
      <c r="K441" s="64"/>
    </row>
    <row r="442" spans="1:11" x14ac:dyDescent="0.25">
      <c r="A442" s="64"/>
      <c r="B442" s="64"/>
      <c r="C442" s="64"/>
      <c r="D442" s="64"/>
      <c r="E442" s="64"/>
      <c r="F442" s="64"/>
      <c r="G442" s="66"/>
      <c r="H442" s="69" t="str">
        <f t="shared" si="12"/>
        <v/>
      </c>
      <c r="I442" s="175" t="str">
        <f t="shared" si="13"/>
        <v/>
      </c>
      <c r="J442" s="65"/>
      <c r="K442" s="64"/>
    </row>
    <row r="443" spans="1:11" x14ac:dyDescent="0.25">
      <c r="A443" s="64"/>
      <c r="B443" s="64"/>
      <c r="C443" s="64"/>
      <c r="D443" s="64"/>
      <c r="E443" s="64"/>
      <c r="F443" s="64"/>
      <c r="G443" s="66"/>
      <c r="H443" s="69" t="str">
        <f t="shared" si="12"/>
        <v/>
      </c>
      <c r="I443" s="175" t="str">
        <f t="shared" si="13"/>
        <v/>
      </c>
      <c r="J443" s="65"/>
      <c r="K443" s="64"/>
    </row>
    <row r="444" spans="1:11" x14ac:dyDescent="0.25">
      <c r="A444" s="64"/>
      <c r="B444" s="64"/>
      <c r="C444" s="64"/>
      <c r="D444" s="64"/>
      <c r="E444" s="64"/>
      <c r="F444" s="64"/>
      <c r="G444" s="66"/>
      <c r="H444" s="69" t="str">
        <f t="shared" si="12"/>
        <v/>
      </c>
      <c r="I444" s="175" t="str">
        <f t="shared" si="13"/>
        <v/>
      </c>
      <c r="J444" s="65"/>
      <c r="K444" s="64"/>
    </row>
    <row r="445" spans="1:11" x14ac:dyDescent="0.25">
      <c r="A445" s="64"/>
      <c r="B445" s="64"/>
      <c r="C445" s="64"/>
      <c r="D445" s="64"/>
      <c r="E445" s="64"/>
      <c r="F445" s="64"/>
      <c r="G445" s="66"/>
      <c r="H445" s="69" t="str">
        <f t="shared" si="12"/>
        <v/>
      </c>
      <c r="I445" s="175" t="str">
        <f t="shared" si="13"/>
        <v/>
      </c>
      <c r="J445" s="65"/>
      <c r="K445" s="64"/>
    </row>
    <row r="446" spans="1:11" x14ac:dyDescent="0.25">
      <c r="A446" s="64"/>
      <c r="B446" s="64"/>
      <c r="C446" s="64"/>
      <c r="D446" s="64"/>
      <c r="E446" s="64"/>
      <c r="F446" s="64"/>
      <c r="G446" s="66"/>
      <c r="H446" s="69" t="str">
        <f t="shared" si="12"/>
        <v/>
      </c>
      <c r="I446" s="175" t="str">
        <f t="shared" si="13"/>
        <v/>
      </c>
      <c r="J446" s="65"/>
      <c r="K446" s="64"/>
    </row>
    <row r="447" spans="1:11" x14ac:dyDescent="0.25">
      <c r="A447" s="64"/>
      <c r="B447" s="64"/>
      <c r="C447" s="64"/>
      <c r="D447" s="64"/>
      <c r="E447" s="64"/>
      <c r="F447" s="64"/>
      <c r="G447" s="66"/>
      <c r="H447" s="69" t="str">
        <f t="shared" si="12"/>
        <v/>
      </c>
      <c r="I447" s="175" t="str">
        <f t="shared" si="13"/>
        <v/>
      </c>
      <c r="J447" s="65"/>
      <c r="K447" s="64"/>
    </row>
    <row r="448" spans="1:11" x14ac:dyDescent="0.25">
      <c r="A448" s="64"/>
      <c r="B448" s="64"/>
      <c r="C448" s="64"/>
      <c r="D448" s="64"/>
      <c r="E448" s="64"/>
      <c r="F448" s="64"/>
      <c r="G448" s="66"/>
      <c r="H448" s="69" t="str">
        <f t="shared" si="12"/>
        <v/>
      </c>
      <c r="I448" s="175" t="str">
        <f t="shared" si="13"/>
        <v/>
      </c>
      <c r="J448" s="65"/>
      <c r="K448" s="64"/>
    </row>
    <row r="449" spans="1:11" x14ac:dyDescent="0.25">
      <c r="A449" s="64"/>
      <c r="B449" s="64"/>
      <c r="C449" s="64"/>
      <c r="D449" s="64"/>
      <c r="E449" s="64"/>
      <c r="F449" s="64"/>
      <c r="G449" s="66"/>
      <c r="H449" s="69" t="str">
        <f t="shared" si="12"/>
        <v/>
      </c>
      <c r="I449" s="175" t="str">
        <f t="shared" si="13"/>
        <v/>
      </c>
      <c r="J449" s="65"/>
      <c r="K449" s="64"/>
    </row>
    <row r="450" spans="1:11" x14ac:dyDescent="0.25">
      <c r="A450" s="64"/>
      <c r="B450" s="64"/>
      <c r="C450" s="64"/>
      <c r="D450" s="64"/>
      <c r="E450" s="64"/>
      <c r="F450" s="64"/>
      <c r="G450" s="66"/>
      <c r="H450" s="69" t="str">
        <f t="shared" si="12"/>
        <v/>
      </c>
      <c r="I450" s="175" t="str">
        <f t="shared" si="13"/>
        <v/>
      </c>
      <c r="J450" s="65"/>
      <c r="K450" s="64"/>
    </row>
    <row r="451" spans="1:11" x14ac:dyDescent="0.25">
      <c r="A451" s="64"/>
      <c r="B451" s="64"/>
      <c r="C451" s="64"/>
      <c r="D451" s="64"/>
      <c r="E451" s="64"/>
      <c r="F451" s="64"/>
      <c r="G451" s="66"/>
      <c r="H451" s="69" t="str">
        <f t="shared" ref="H451:H502" si="14">IFERROR(IF(OR(E451="",G451=""),"",E451*G451),"")</f>
        <v/>
      </c>
      <c r="I451" s="175" t="str">
        <f t="shared" ref="I451:I502" si="15">IF(A451="","",IF(E451="","",IF(E451&lt;=F451*0.5,"Critical",IF(E451&lt;=F451,"Reorder","OK"))))</f>
        <v/>
      </c>
      <c r="J451" s="65"/>
      <c r="K451" s="64"/>
    </row>
    <row r="452" spans="1:11" x14ac:dyDescent="0.25">
      <c r="A452" s="64"/>
      <c r="B452" s="64"/>
      <c r="C452" s="64"/>
      <c r="D452" s="64"/>
      <c r="E452" s="64"/>
      <c r="F452" s="64"/>
      <c r="G452" s="66"/>
      <c r="H452" s="69" t="str">
        <f t="shared" si="14"/>
        <v/>
      </c>
      <c r="I452" s="175" t="str">
        <f t="shared" si="15"/>
        <v/>
      </c>
      <c r="J452" s="65"/>
      <c r="K452" s="64"/>
    </row>
    <row r="453" spans="1:11" x14ac:dyDescent="0.25">
      <c r="A453" s="64"/>
      <c r="B453" s="64"/>
      <c r="C453" s="64"/>
      <c r="D453" s="64"/>
      <c r="E453" s="64"/>
      <c r="F453" s="64"/>
      <c r="G453" s="66"/>
      <c r="H453" s="69" t="str">
        <f t="shared" si="14"/>
        <v/>
      </c>
      <c r="I453" s="175" t="str">
        <f t="shared" si="15"/>
        <v/>
      </c>
      <c r="J453" s="65"/>
      <c r="K453" s="64"/>
    </row>
    <row r="454" spans="1:11" x14ac:dyDescent="0.25">
      <c r="A454" s="64"/>
      <c r="B454" s="64"/>
      <c r="C454" s="64"/>
      <c r="D454" s="64"/>
      <c r="E454" s="64"/>
      <c r="F454" s="64"/>
      <c r="G454" s="66"/>
      <c r="H454" s="69" t="str">
        <f t="shared" si="14"/>
        <v/>
      </c>
      <c r="I454" s="175" t="str">
        <f t="shared" si="15"/>
        <v/>
      </c>
      <c r="J454" s="65"/>
      <c r="K454" s="64"/>
    </row>
    <row r="455" spans="1:11" x14ac:dyDescent="0.25">
      <c r="A455" s="64"/>
      <c r="B455" s="64"/>
      <c r="C455" s="64"/>
      <c r="D455" s="64"/>
      <c r="E455" s="64"/>
      <c r="F455" s="64"/>
      <c r="G455" s="66"/>
      <c r="H455" s="69" t="str">
        <f t="shared" si="14"/>
        <v/>
      </c>
      <c r="I455" s="175" t="str">
        <f t="shared" si="15"/>
        <v/>
      </c>
      <c r="J455" s="65"/>
      <c r="K455" s="64"/>
    </row>
    <row r="456" spans="1:11" x14ac:dyDescent="0.25">
      <c r="A456" s="64"/>
      <c r="B456" s="64"/>
      <c r="C456" s="64"/>
      <c r="D456" s="64"/>
      <c r="E456" s="64"/>
      <c r="F456" s="64"/>
      <c r="G456" s="66"/>
      <c r="H456" s="69" t="str">
        <f t="shared" si="14"/>
        <v/>
      </c>
      <c r="I456" s="175" t="str">
        <f t="shared" si="15"/>
        <v/>
      </c>
      <c r="J456" s="65"/>
      <c r="K456" s="64"/>
    </row>
    <row r="457" spans="1:11" x14ac:dyDescent="0.25">
      <c r="A457" s="64"/>
      <c r="B457" s="64"/>
      <c r="C457" s="64"/>
      <c r="D457" s="64"/>
      <c r="E457" s="64"/>
      <c r="F457" s="64"/>
      <c r="G457" s="66"/>
      <c r="H457" s="69" t="str">
        <f t="shared" si="14"/>
        <v/>
      </c>
      <c r="I457" s="175" t="str">
        <f t="shared" si="15"/>
        <v/>
      </c>
      <c r="J457" s="65"/>
      <c r="K457" s="64"/>
    </row>
    <row r="458" spans="1:11" x14ac:dyDescent="0.25">
      <c r="A458" s="64"/>
      <c r="B458" s="64"/>
      <c r="C458" s="64"/>
      <c r="D458" s="64"/>
      <c r="E458" s="64"/>
      <c r="F458" s="64"/>
      <c r="G458" s="66"/>
      <c r="H458" s="69" t="str">
        <f t="shared" si="14"/>
        <v/>
      </c>
      <c r="I458" s="175" t="str">
        <f t="shared" si="15"/>
        <v/>
      </c>
      <c r="J458" s="65"/>
      <c r="K458" s="64"/>
    </row>
    <row r="459" spans="1:11" x14ac:dyDescent="0.25">
      <c r="A459" s="64"/>
      <c r="B459" s="64"/>
      <c r="C459" s="64"/>
      <c r="D459" s="64"/>
      <c r="E459" s="64"/>
      <c r="F459" s="64"/>
      <c r="G459" s="66"/>
      <c r="H459" s="69" t="str">
        <f t="shared" si="14"/>
        <v/>
      </c>
      <c r="I459" s="175" t="str">
        <f t="shared" si="15"/>
        <v/>
      </c>
      <c r="J459" s="65"/>
      <c r="K459" s="64"/>
    </row>
    <row r="460" spans="1:11" x14ac:dyDescent="0.25">
      <c r="A460" s="64"/>
      <c r="B460" s="64"/>
      <c r="C460" s="64"/>
      <c r="D460" s="64"/>
      <c r="E460" s="64"/>
      <c r="F460" s="64"/>
      <c r="G460" s="66"/>
      <c r="H460" s="69" t="str">
        <f t="shared" si="14"/>
        <v/>
      </c>
      <c r="I460" s="175" t="str">
        <f t="shared" si="15"/>
        <v/>
      </c>
      <c r="J460" s="65"/>
      <c r="K460" s="64"/>
    </row>
    <row r="461" spans="1:11" x14ac:dyDescent="0.25">
      <c r="A461" s="64"/>
      <c r="B461" s="64"/>
      <c r="C461" s="64"/>
      <c r="D461" s="64"/>
      <c r="E461" s="64"/>
      <c r="F461" s="64"/>
      <c r="G461" s="66"/>
      <c r="H461" s="69" t="str">
        <f t="shared" si="14"/>
        <v/>
      </c>
      <c r="I461" s="175" t="str">
        <f t="shared" si="15"/>
        <v/>
      </c>
      <c r="J461" s="65"/>
      <c r="K461" s="64"/>
    </row>
    <row r="462" spans="1:11" x14ac:dyDescent="0.25">
      <c r="A462" s="64"/>
      <c r="B462" s="64"/>
      <c r="C462" s="64"/>
      <c r="D462" s="64"/>
      <c r="E462" s="64"/>
      <c r="F462" s="64"/>
      <c r="G462" s="66"/>
      <c r="H462" s="69" t="str">
        <f t="shared" si="14"/>
        <v/>
      </c>
      <c r="I462" s="175" t="str">
        <f t="shared" si="15"/>
        <v/>
      </c>
      <c r="J462" s="65"/>
      <c r="K462" s="64"/>
    </row>
    <row r="463" spans="1:11" x14ac:dyDescent="0.25">
      <c r="A463" s="64"/>
      <c r="B463" s="64"/>
      <c r="C463" s="64"/>
      <c r="D463" s="64"/>
      <c r="E463" s="64"/>
      <c r="F463" s="64"/>
      <c r="G463" s="66"/>
      <c r="H463" s="69" t="str">
        <f t="shared" si="14"/>
        <v/>
      </c>
      <c r="I463" s="175" t="str">
        <f t="shared" si="15"/>
        <v/>
      </c>
      <c r="J463" s="65"/>
      <c r="K463" s="64"/>
    </row>
    <row r="464" spans="1:11" x14ac:dyDescent="0.25">
      <c r="A464" s="64"/>
      <c r="B464" s="64"/>
      <c r="C464" s="64"/>
      <c r="D464" s="64"/>
      <c r="E464" s="64"/>
      <c r="F464" s="64"/>
      <c r="G464" s="66"/>
      <c r="H464" s="69" t="str">
        <f t="shared" si="14"/>
        <v/>
      </c>
      <c r="I464" s="175" t="str">
        <f t="shared" si="15"/>
        <v/>
      </c>
      <c r="J464" s="65"/>
      <c r="K464" s="64"/>
    </row>
    <row r="465" spans="1:11" x14ac:dyDescent="0.25">
      <c r="A465" s="64"/>
      <c r="B465" s="64"/>
      <c r="C465" s="64"/>
      <c r="D465" s="64"/>
      <c r="E465" s="64"/>
      <c r="F465" s="64"/>
      <c r="G465" s="66"/>
      <c r="H465" s="69" t="str">
        <f t="shared" si="14"/>
        <v/>
      </c>
      <c r="I465" s="175" t="str">
        <f t="shared" si="15"/>
        <v/>
      </c>
      <c r="J465" s="65"/>
      <c r="K465" s="64"/>
    </row>
    <row r="466" spans="1:11" x14ac:dyDescent="0.25">
      <c r="A466" s="64"/>
      <c r="B466" s="64"/>
      <c r="C466" s="64"/>
      <c r="D466" s="64"/>
      <c r="E466" s="64"/>
      <c r="F466" s="64"/>
      <c r="G466" s="66"/>
      <c r="H466" s="69" t="str">
        <f t="shared" si="14"/>
        <v/>
      </c>
      <c r="I466" s="175" t="str">
        <f t="shared" si="15"/>
        <v/>
      </c>
      <c r="J466" s="65"/>
      <c r="K466" s="64"/>
    </row>
    <row r="467" spans="1:11" x14ac:dyDescent="0.25">
      <c r="A467" s="64"/>
      <c r="B467" s="64"/>
      <c r="C467" s="64"/>
      <c r="D467" s="64"/>
      <c r="E467" s="64"/>
      <c r="F467" s="64"/>
      <c r="G467" s="66"/>
      <c r="H467" s="69" t="str">
        <f t="shared" si="14"/>
        <v/>
      </c>
      <c r="I467" s="175" t="str">
        <f t="shared" si="15"/>
        <v/>
      </c>
      <c r="J467" s="65"/>
      <c r="K467" s="64"/>
    </row>
    <row r="468" spans="1:11" x14ac:dyDescent="0.25">
      <c r="A468" s="64"/>
      <c r="B468" s="64"/>
      <c r="C468" s="64"/>
      <c r="D468" s="64"/>
      <c r="E468" s="64"/>
      <c r="F468" s="64"/>
      <c r="G468" s="66"/>
      <c r="H468" s="69" t="str">
        <f t="shared" si="14"/>
        <v/>
      </c>
      <c r="I468" s="175" t="str">
        <f t="shared" si="15"/>
        <v/>
      </c>
      <c r="J468" s="65"/>
      <c r="K468" s="64"/>
    </row>
    <row r="469" spans="1:11" x14ac:dyDescent="0.25">
      <c r="A469" s="64"/>
      <c r="B469" s="64"/>
      <c r="C469" s="64"/>
      <c r="D469" s="64"/>
      <c r="E469" s="64"/>
      <c r="F469" s="64"/>
      <c r="G469" s="66"/>
      <c r="H469" s="69" t="str">
        <f t="shared" si="14"/>
        <v/>
      </c>
      <c r="I469" s="175" t="str">
        <f t="shared" si="15"/>
        <v/>
      </c>
      <c r="J469" s="65"/>
      <c r="K469" s="64"/>
    </row>
    <row r="470" spans="1:11" x14ac:dyDescent="0.25">
      <c r="A470" s="64"/>
      <c r="B470" s="64"/>
      <c r="C470" s="64"/>
      <c r="D470" s="64"/>
      <c r="E470" s="64"/>
      <c r="F470" s="64"/>
      <c r="G470" s="66"/>
      <c r="H470" s="69" t="str">
        <f t="shared" si="14"/>
        <v/>
      </c>
      <c r="I470" s="175" t="str">
        <f t="shared" si="15"/>
        <v/>
      </c>
      <c r="J470" s="65"/>
      <c r="K470" s="64"/>
    </row>
    <row r="471" spans="1:11" x14ac:dyDescent="0.25">
      <c r="A471" s="64"/>
      <c r="B471" s="64"/>
      <c r="C471" s="64"/>
      <c r="D471" s="64"/>
      <c r="E471" s="64"/>
      <c r="F471" s="64"/>
      <c r="G471" s="66"/>
      <c r="H471" s="69" t="str">
        <f t="shared" si="14"/>
        <v/>
      </c>
      <c r="I471" s="175" t="str">
        <f t="shared" si="15"/>
        <v/>
      </c>
      <c r="J471" s="65"/>
      <c r="K471" s="64"/>
    </row>
    <row r="472" spans="1:11" x14ac:dyDescent="0.25">
      <c r="A472" s="64"/>
      <c r="B472" s="64"/>
      <c r="C472" s="64"/>
      <c r="D472" s="64"/>
      <c r="E472" s="64"/>
      <c r="F472" s="64"/>
      <c r="G472" s="66"/>
      <c r="H472" s="69" t="str">
        <f t="shared" si="14"/>
        <v/>
      </c>
      <c r="I472" s="175" t="str">
        <f t="shared" si="15"/>
        <v/>
      </c>
      <c r="J472" s="65"/>
      <c r="K472" s="64"/>
    </row>
    <row r="473" spans="1:11" x14ac:dyDescent="0.25">
      <c r="A473" s="64"/>
      <c r="B473" s="64"/>
      <c r="C473" s="64"/>
      <c r="D473" s="64"/>
      <c r="E473" s="64"/>
      <c r="F473" s="64"/>
      <c r="G473" s="66"/>
      <c r="H473" s="69" t="str">
        <f t="shared" si="14"/>
        <v/>
      </c>
      <c r="I473" s="175" t="str">
        <f t="shared" si="15"/>
        <v/>
      </c>
      <c r="J473" s="65"/>
      <c r="K473" s="64"/>
    </row>
    <row r="474" spans="1:11" x14ac:dyDescent="0.25">
      <c r="A474" s="64"/>
      <c r="B474" s="64"/>
      <c r="C474" s="64"/>
      <c r="D474" s="64"/>
      <c r="E474" s="64"/>
      <c r="F474" s="64"/>
      <c r="G474" s="66"/>
      <c r="H474" s="69" t="str">
        <f t="shared" si="14"/>
        <v/>
      </c>
      <c r="I474" s="175" t="str">
        <f t="shared" si="15"/>
        <v/>
      </c>
      <c r="J474" s="65"/>
      <c r="K474" s="64"/>
    </row>
    <row r="475" spans="1:11" x14ac:dyDescent="0.25">
      <c r="A475" s="64"/>
      <c r="B475" s="64"/>
      <c r="C475" s="64"/>
      <c r="D475" s="64"/>
      <c r="E475" s="64"/>
      <c r="F475" s="64"/>
      <c r="G475" s="66"/>
      <c r="H475" s="69" t="str">
        <f t="shared" si="14"/>
        <v/>
      </c>
      <c r="I475" s="175" t="str">
        <f t="shared" si="15"/>
        <v/>
      </c>
      <c r="J475" s="65"/>
      <c r="K475" s="64"/>
    </row>
    <row r="476" spans="1:11" x14ac:dyDescent="0.25">
      <c r="A476" s="64"/>
      <c r="B476" s="64"/>
      <c r="C476" s="64"/>
      <c r="D476" s="64"/>
      <c r="E476" s="64"/>
      <c r="F476" s="64"/>
      <c r="G476" s="66"/>
      <c r="H476" s="69" t="str">
        <f t="shared" si="14"/>
        <v/>
      </c>
      <c r="I476" s="175" t="str">
        <f t="shared" si="15"/>
        <v/>
      </c>
      <c r="J476" s="65"/>
      <c r="K476" s="64"/>
    </row>
    <row r="477" spans="1:11" x14ac:dyDescent="0.25">
      <c r="A477" s="64"/>
      <c r="B477" s="64"/>
      <c r="C477" s="64"/>
      <c r="D477" s="64"/>
      <c r="E477" s="64"/>
      <c r="F477" s="64"/>
      <c r="G477" s="66"/>
      <c r="H477" s="69" t="str">
        <f t="shared" si="14"/>
        <v/>
      </c>
      <c r="I477" s="175" t="str">
        <f t="shared" si="15"/>
        <v/>
      </c>
      <c r="J477" s="65"/>
      <c r="K477" s="64"/>
    </row>
    <row r="478" spans="1:11" x14ac:dyDescent="0.25">
      <c r="A478" s="64"/>
      <c r="B478" s="64"/>
      <c r="C478" s="64"/>
      <c r="D478" s="64"/>
      <c r="E478" s="64"/>
      <c r="F478" s="64"/>
      <c r="G478" s="66"/>
      <c r="H478" s="69" t="str">
        <f t="shared" si="14"/>
        <v/>
      </c>
      <c r="I478" s="175" t="str">
        <f t="shared" si="15"/>
        <v/>
      </c>
      <c r="J478" s="65"/>
      <c r="K478" s="64"/>
    </row>
    <row r="479" spans="1:11" x14ac:dyDescent="0.25">
      <c r="A479" s="64"/>
      <c r="B479" s="64"/>
      <c r="C479" s="64"/>
      <c r="D479" s="64"/>
      <c r="E479" s="64"/>
      <c r="F479" s="64"/>
      <c r="G479" s="66"/>
      <c r="H479" s="69" t="str">
        <f t="shared" si="14"/>
        <v/>
      </c>
      <c r="I479" s="175" t="str">
        <f t="shared" si="15"/>
        <v/>
      </c>
      <c r="J479" s="65"/>
      <c r="K479" s="64"/>
    </row>
    <row r="480" spans="1:11" x14ac:dyDescent="0.25">
      <c r="A480" s="64"/>
      <c r="B480" s="64"/>
      <c r="C480" s="64"/>
      <c r="D480" s="64"/>
      <c r="E480" s="64"/>
      <c r="F480" s="64"/>
      <c r="G480" s="66"/>
      <c r="H480" s="69" t="str">
        <f t="shared" si="14"/>
        <v/>
      </c>
      <c r="I480" s="175" t="str">
        <f t="shared" si="15"/>
        <v/>
      </c>
      <c r="J480" s="65"/>
      <c r="K480" s="64"/>
    </row>
    <row r="481" spans="1:11" x14ac:dyDescent="0.25">
      <c r="A481" s="64"/>
      <c r="B481" s="64"/>
      <c r="C481" s="64"/>
      <c r="D481" s="64"/>
      <c r="E481" s="64"/>
      <c r="F481" s="64"/>
      <c r="G481" s="66"/>
      <c r="H481" s="69" t="str">
        <f t="shared" si="14"/>
        <v/>
      </c>
      <c r="I481" s="175" t="str">
        <f t="shared" si="15"/>
        <v/>
      </c>
      <c r="J481" s="65"/>
      <c r="K481" s="64"/>
    </row>
    <row r="482" spans="1:11" x14ac:dyDescent="0.25">
      <c r="A482" s="64"/>
      <c r="B482" s="64"/>
      <c r="C482" s="64"/>
      <c r="D482" s="64"/>
      <c r="E482" s="64"/>
      <c r="F482" s="64"/>
      <c r="G482" s="66"/>
      <c r="H482" s="69" t="str">
        <f t="shared" si="14"/>
        <v/>
      </c>
      <c r="I482" s="175" t="str">
        <f t="shared" si="15"/>
        <v/>
      </c>
      <c r="J482" s="65"/>
      <c r="K482" s="64"/>
    </row>
    <row r="483" spans="1:11" x14ac:dyDescent="0.25">
      <c r="A483" s="64"/>
      <c r="B483" s="64"/>
      <c r="C483" s="64"/>
      <c r="D483" s="64"/>
      <c r="E483" s="64"/>
      <c r="F483" s="64"/>
      <c r="G483" s="66"/>
      <c r="H483" s="69" t="str">
        <f t="shared" si="14"/>
        <v/>
      </c>
      <c r="I483" s="175" t="str">
        <f t="shared" si="15"/>
        <v/>
      </c>
      <c r="J483" s="65"/>
      <c r="K483" s="64"/>
    </row>
    <row r="484" spans="1:11" x14ac:dyDescent="0.25">
      <c r="A484" s="64"/>
      <c r="B484" s="64"/>
      <c r="C484" s="64"/>
      <c r="D484" s="64"/>
      <c r="E484" s="64"/>
      <c r="F484" s="64"/>
      <c r="G484" s="66"/>
      <c r="H484" s="69" t="str">
        <f t="shared" si="14"/>
        <v/>
      </c>
      <c r="I484" s="175" t="str">
        <f t="shared" si="15"/>
        <v/>
      </c>
      <c r="J484" s="65"/>
      <c r="K484" s="64"/>
    </row>
    <row r="485" spans="1:11" x14ac:dyDescent="0.25">
      <c r="A485" s="64"/>
      <c r="B485" s="64"/>
      <c r="C485" s="64"/>
      <c r="D485" s="64"/>
      <c r="E485" s="64"/>
      <c r="F485" s="64"/>
      <c r="G485" s="66"/>
      <c r="H485" s="69" t="str">
        <f t="shared" si="14"/>
        <v/>
      </c>
      <c r="I485" s="175" t="str">
        <f t="shared" si="15"/>
        <v/>
      </c>
      <c r="J485" s="65"/>
      <c r="K485" s="64"/>
    </row>
    <row r="486" spans="1:11" x14ac:dyDescent="0.25">
      <c r="A486" s="64"/>
      <c r="B486" s="64"/>
      <c r="C486" s="64"/>
      <c r="D486" s="64"/>
      <c r="E486" s="64"/>
      <c r="F486" s="64"/>
      <c r="G486" s="66"/>
      <c r="H486" s="69" t="str">
        <f t="shared" si="14"/>
        <v/>
      </c>
      <c r="I486" s="175" t="str">
        <f t="shared" si="15"/>
        <v/>
      </c>
      <c r="J486" s="65"/>
      <c r="K486" s="64"/>
    </row>
    <row r="487" spans="1:11" x14ac:dyDescent="0.25">
      <c r="A487" s="64"/>
      <c r="B487" s="64"/>
      <c r="C487" s="64"/>
      <c r="D487" s="64"/>
      <c r="E487" s="64"/>
      <c r="F487" s="64"/>
      <c r="G487" s="66"/>
      <c r="H487" s="69" t="str">
        <f t="shared" si="14"/>
        <v/>
      </c>
      <c r="I487" s="175" t="str">
        <f t="shared" si="15"/>
        <v/>
      </c>
      <c r="J487" s="65"/>
      <c r="K487" s="64"/>
    </row>
    <row r="488" spans="1:11" x14ac:dyDescent="0.25">
      <c r="A488" s="64"/>
      <c r="B488" s="64"/>
      <c r="C488" s="64"/>
      <c r="D488" s="64"/>
      <c r="E488" s="64"/>
      <c r="F488" s="64"/>
      <c r="G488" s="66"/>
      <c r="H488" s="69" t="str">
        <f t="shared" si="14"/>
        <v/>
      </c>
      <c r="I488" s="175" t="str">
        <f t="shared" si="15"/>
        <v/>
      </c>
      <c r="J488" s="65"/>
      <c r="K488" s="64"/>
    </row>
    <row r="489" spans="1:11" x14ac:dyDescent="0.25">
      <c r="A489" s="64"/>
      <c r="B489" s="64"/>
      <c r="C489" s="64"/>
      <c r="D489" s="64"/>
      <c r="E489" s="64"/>
      <c r="F489" s="64"/>
      <c r="G489" s="66"/>
      <c r="H489" s="69" t="str">
        <f t="shared" si="14"/>
        <v/>
      </c>
      <c r="I489" s="175" t="str">
        <f t="shared" si="15"/>
        <v/>
      </c>
      <c r="J489" s="65"/>
      <c r="K489" s="64"/>
    </row>
    <row r="490" spans="1:11" x14ac:dyDescent="0.25">
      <c r="A490" s="64"/>
      <c r="B490" s="64"/>
      <c r="C490" s="64"/>
      <c r="D490" s="64"/>
      <c r="E490" s="64"/>
      <c r="F490" s="64"/>
      <c r="G490" s="66"/>
      <c r="H490" s="69" t="str">
        <f t="shared" si="14"/>
        <v/>
      </c>
      <c r="I490" s="175" t="str">
        <f t="shared" si="15"/>
        <v/>
      </c>
      <c r="J490" s="65"/>
      <c r="K490" s="64"/>
    </row>
    <row r="491" spans="1:11" x14ac:dyDescent="0.25">
      <c r="A491" s="64"/>
      <c r="B491" s="64"/>
      <c r="C491" s="64"/>
      <c r="D491" s="64"/>
      <c r="E491" s="64"/>
      <c r="F491" s="64"/>
      <c r="G491" s="66"/>
      <c r="H491" s="69" t="str">
        <f t="shared" si="14"/>
        <v/>
      </c>
      <c r="I491" s="175" t="str">
        <f t="shared" si="15"/>
        <v/>
      </c>
      <c r="J491" s="65"/>
      <c r="K491" s="64"/>
    </row>
    <row r="492" spans="1:11" x14ac:dyDescent="0.25">
      <c r="A492" s="64"/>
      <c r="B492" s="64"/>
      <c r="C492" s="64"/>
      <c r="D492" s="64"/>
      <c r="E492" s="64"/>
      <c r="F492" s="64"/>
      <c r="G492" s="66"/>
      <c r="H492" s="69" t="str">
        <f t="shared" si="14"/>
        <v/>
      </c>
      <c r="I492" s="175" t="str">
        <f t="shared" si="15"/>
        <v/>
      </c>
      <c r="J492" s="65"/>
      <c r="K492" s="64"/>
    </row>
    <row r="493" spans="1:11" x14ac:dyDescent="0.25">
      <c r="A493" s="64"/>
      <c r="B493" s="64"/>
      <c r="C493" s="64"/>
      <c r="D493" s="64"/>
      <c r="E493" s="64"/>
      <c r="F493" s="64"/>
      <c r="G493" s="66"/>
      <c r="H493" s="69" t="str">
        <f t="shared" si="14"/>
        <v/>
      </c>
      <c r="I493" s="175" t="str">
        <f t="shared" si="15"/>
        <v/>
      </c>
      <c r="J493" s="65"/>
      <c r="K493" s="64"/>
    </row>
    <row r="494" spans="1:11" x14ac:dyDescent="0.25">
      <c r="A494" s="64"/>
      <c r="B494" s="64"/>
      <c r="C494" s="64"/>
      <c r="D494" s="64"/>
      <c r="E494" s="64"/>
      <c r="F494" s="64"/>
      <c r="G494" s="66"/>
      <c r="H494" s="69" t="str">
        <f t="shared" si="14"/>
        <v/>
      </c>
      <c r="I494" s="175" t="str">
        <f t="shared" si="15"/>
        <v/>
      </c>
      <c r="J494" s="65"/>
      <c r="K494" s="64"/>
    </row>
    <row r="495" spans="1:11" x14ac:dyDescent="0.25">
      <c r="A495" s="64"/>
      <c r="B495" s="64"/>
      <c r="C495" s="64"/>
      <c r="D495" s="64"/>
      <c r="E495" s="64"/>
      <c r="F495" s="64"/>
      <c r="G495" s="66"/>
      <c r="H495" s="69" t="str">
        <f t="shared" si="14"/>
        <v/>
      </c>
      <c r="I495" s="175" t="str">
        <f t="shared" si="15"/>
        <v/>
      </c>
      <c r="J495" s="65"/>
      <c r="K495" s="64"/>
    </row>
    <row r="496" spans="1:11" x14ac:dyDescent="0.25">
      <c r="A496" s="64"/>
      <c r="B496" s="64"/>
      <c r="C496" s="64"/>
      <c r="D496" s="64"/>
      <c r="E496" s="64"/>
      <c r="F496" s="64"/>
      <c r="G496" s="66"/>
      <c r="H496" s="69" t="str">
        <f t="shared" si="14"/>
        <v/>
      </c>
      <c r="I496" s="175" t="str">
        <f t="shared" si="15"/>
        <v/>
      </c>
      <c r="J496" s="65"/>
      <c r="K496" s="64"/>
    </row>
    <row r="497" spans="1:11" x14ac:dyDescent="0.25">
      <c r="A497" s="64"/>
      <c r="B497" s="64"/>
      <c r="C497" s="64"/>
      <c r="D497" s="64"/>
      <c r="E497" s="64"/>
      <c r="F497" s="64"/>
      <c r="G497" s="66"/>
      <c r="H497" s="69" t="str">
        <f t="shared" si="14"/>
        <v/>
      </c>
      <c r="I497" s="175" t="str">
        <f t="shared" si="15"/>
        <v/>
      </c>
      <c r="J497" s="65"/>
      <c r="K497" s="64"/>
    </row>
    <row r="498" spans="1:11" x14ac:dyDescent="0.25">
      <c r="A498" s="64"/>
      <c r="B498" s="64"/>
      <c r="C498" s="64"/>
      <c r="D498" s="64"/>
      <c r="E498" s="64"/>
      <c r="F498" s="64"/>
      <c r="G498" s="66"/>
      <c r="H498" s="69" t="str">
        <f t="shared" si="14"/>
        <v/>
      </c>
      <c r="I498" s="175" t="str">
        <f t="shared" si="15"/>
        <v/>
      </c>
      <c r="J498" s="65"/>
      <c r="K498" s="64"/>
    </row>
    <row r="499" spans="1:11" x14ac:dyDescent="0.25">
      <c r="A499" s="64"/>
      <c r="B499" s="64"/>
      <c r="C499" s="64"/>
      <c r="D499" s="64"/>
      <c r="E499" s="64"/>
      <c r="F499" s="64"/>
      <c r="G499" s="66"/>
      <c r="H499" s="69" t="str">
        <f t="shared" si="14"/>
        <v/>
      </c>
      <c r="I499" s="175" t="str">
        <f t="shared" si="15"/>
        <v/>
      </c>
      <c r="J499" s="65"/>
      <c r="K499" s="64"/>
    </row>
    <row r="500" spans="1:11" x14ac:dyDescent="0.25">
      <c r="A500" s="64"/>
      <c r="B500" s="64"/>
      <c r="C500" s="64"/>
      <c r="D500" s="64"/>
      <c r="E500" s="64"/>
      <c r="F500" s="64"/>
      <c r="G500" s="66"/>
      <c r="H500" s="69" t="str">
        <f t="shared" si="14"/>
        <v/>
      </c>
      <c r="I500" s="175" t="str">
        <f t="shared" si="15"/>
        <v/>
      </c>
      <c r="J500" s="65"/>
      <c r="K500" s="64"/>
    </row>
    <row r="501" spans="1:11" x14ac:dyDescent="0.25">
      <c r="A501" s="64"/>
      <c r="B501" s="64"/>
      <c r="C501" s="64"/>
      <c r="D501" s="64"/>
      <c r="E501" s="64"/>
      <c r="F501" s="64"/>
      <c r="G501" s="66"/>
      <c r="H501" s="69" t="str">
        <f t="shared" si="14"/>
        <v/>
      </c>
      <c r="I501" s="175" t="str">
        <f t="shared" si="15"/>
        <v/>
      </c>
      <c r="J501" s="65"/>
      <c r="K501" s="64"/>
    </row>
    <row r="502" spans="1:11" x14ac:dyDescent="0.25">
      <c r="A502" s="64"/>
      <c r="B502" s="64"/>
      <c r="C502" s="64"/>
      <c r="D502" s="64"/>
      <c r="E502" s="64"/>
      <c r="F502" s="64"/>
      <c r="G502" s="66"/>
      <c r="H502" s="69" t="str">
        <f t="shared" si="14"/>
        <v/>
      </c>
      <c r="I502" s="175" t="str">
        <f t="shared" si="15"/>
        <v/>
      </c>
      <c r="J502" s="65"/>
      <c r="K502" s="6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I3:I502">
    <cfRule type="cellIs" dxfId="8" priority="2" operator="equal">
      <formula>"Critical"</formula>
    </cfRule>
    <cfRule type="cellIs" dxfId="7" priority="3" operator="equal">
      <formula>"Reorder"</formula>
    </cfRule>
    <cfRule type="cellIs" dxfId="6" priority="4" operator="equal">
      <formula>"OK"</formula>
    </cfRule>
  </conditionalFormatting>
  <dataValidations count="2">
    <dataValidation type="list" allowBlank="1" sqref="C3:C502" xr:uid="{00000000-0002-0000-1E00-000000000000}">
      <formula1>"Abrasives,Drill_bits,CNC_bits,Saw_blades,Screws,Nails,Glue,Edge_tape,Sealant,Paint,Primer,Sandpaper,Safety_PPE,Cleaning,Other"</formula1>
      <formula2>0</formula2>
    </dataValidation>
    <dataValidation type="list" allowBlank="1" sqref="D3:D502" xr:uid="{00000000-0002-0000-1E00-000001000000}">
      <formula1>"pc,box,roll,m,m2,kg,L,set"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J54"/>
  <sheetViews>
    <sheetView zoomScaleNormal="100" workbookViewId="0"/>
  </sheetViews>
  <sheetFormatPr defaultColWidth="8.7109375" defaultRowHeight="15" x14ac:dyDescent="0.25"/>
  <cols>
    <col min="1" max="1" width="14" customWidth="1"/>
    <col min="2" max="2" width="24" customWidth="1"/>
    <col min="3" max="3" width="18" customWidth="1"/>
    <col min="4" max="4" width="22" customWidth="1"/>
    <col min="5" max="9" width="14" customWidth="1"/>
    <col min="10" max="10" width="22" customWidth="1"/>
  </cols>
  <sheetData>
    <row r="1" spans="1:10" ht="18" x14ac:dyDescent="0.25">
      <c r="A1" s="60" t="s">
        <v>1341</v>
      </c>
      <c r="B1" s="61"/>
      <c r="C1" s="61"/>
      <c r="D1" s="61"/>
      <c r="E1" s="61"/>
      <c r="F1" s="133" t="s">
        <v>1342</v>
      </c>
      <c r="G1" s="61"/>
      <c r="H1" s="61"/>
      <c r="I1" s="61"/>
      <c r="J1" s="61"/>
    </row>
    <row r="2" spans="1:10" ht="27.75" customHeight="1" x14ac:dyDescent="0.25">
      <c r="A2" s="63" t="s">
        <v>1343</v>
      </c>
      <c r="B2" s="63" t="s">
        <v>489</v>
      </c>
      <c r="C2" s="63" t="s">
        <v>21</v>
      </c>
      <c r="D2" s="63" t="s">
        <v>1344</v>
      </c>
      <c r="E2" s="63" t="s">
        <v>1345</v>
      </c>
      <c r="F2" s="63" t="s">
        <v>1194</v>
      </c>
      <c r="G2" s="63" t="s">
        <v>1195</v>
      </c>
      <c r="H2" s="63" t="s">
        <v>1346</v>
      </c>
      <c r="I2" s="63" t="s">
        <v>23</v>
      </c>
      <c r="J2" s="63" t="s">
        <v>226</v>
      </c>
    </row>
    <row r="3" spans="1:10" x14ac:dyDescent="0.25">
      <c r="A3" s="64" t="s">
        <v>1347</v>
      </c>
      <c r="B3" s="64" t="s">
        <v>1348</v>
      </c>
      <c r="C3" s="64" t="s">
        <v>925</v>
      </c>
      <c r="D3" s="64" t="s">
        <v>993</v>
      </c>
      <c r="E3" s="65">
        <v>45901</v>
      </c>
      <c r="F3" s="65">
        <v>46265</v>
      </c>
      <c r="G3" s="186">
        <f t="shared" ref="G3:G34" ca="1" si="0">IFERROR(IF(F3="","",F3-TODAY()),"")</f>
        <v>54</v>
      </c>
      <c r="H3" s="66"/>
      <c r="I3" s="175" t="str">
        <f t="shared" ref="I3:I34" ca="1" si="1">IFERROR(IF(G3="","",IF(G3&lt;0,"Expired",IF(G3&lt;=30,"Urgent",IF(G3&lt;=60,"Due_soon","Active")))),"")</f>
        <v>Due_soon</v>
      </c>
      <c r="J3" s="64"/>
    </row>
    <row r="4" spans="1:10" x14ac:dyDescent="0.25">
      <c r="A4" s="64" t="s">
        <v>1349</v>
      </c>
      <c r="B4" s="64" t="s">
        <v>1350</v>
      </c>
      <c r="C4" s="64" t="s">
        <v>925</v>
      </c>
      <c r="D4" s="64" t="s">
        <v>993</v>
      </c>
      <c r="E4" s="65">
        <v>45809</v>
      </c>
      <c r="F4" s="65">
        <v>46173</v>
      </c>
      <c r="G4" s="186">
        <f t="shared" ca="1" si="0"/>
        <v>-38</v>
      </c>
      <c r="H4" s="66"/>
      <c r="I4" s="175" t="str">
        <f t="shared" ca="1" si="1"/>
        <v>Expired</v>
      </c>
      <c r="J4" s="64"/>
    </row>
    <row r="5" spans="1:10" x14ac:dyDescent="0.25">
      <c r="A5" s="64" t="s">
        <v>1351</v>
      </c>
      <c r="B5" s="64" t="s">
        <v>1352</v>
      </c>
      <c r="C5" s="64" t="s">
        <v>925</v>
      </c>
      <c r="D5" s="64" t="s">
        <v>993</v>
      </c>
      <c r="E5" s="65">
        <v>45931</v>
      </c>
      <c r="F5" s="65">
        <v>46295</v>
      </c>
      <c r="G5" s="186">
        <f t="shared" ca="1" si="0"/>
        <v>84</v>
      </c>
      <c r="H5" s="66"/>
      <c r="I5" s="175" t="str">
        <f t="shared" ca="1" si="1"/>
        <v>Active</v>
      </c>
      <c r="J5" s="64"/>
    </row>
    <row r="6" spans="1:10" x14ac:dyDescent="0.25">
      <c r="A6" s="64" t="s">
        <v>1353</v>
      </c>
      <c r="B6" s="64" t="s">
        <v>1354</v>
      </c>
      <c r="C6" s="64" t="s">
        <v>925</v>
      </c>
      <c r="D6" s="64" t="s">
        <v>1355</v>
      </c>
      <c r="E6" s="65">
        <v>45748</v>
      </c>
      <c r="F6" s="65">
        <v>46112</v>
      </c>
      <c r="G6" s="186">
        <f t="shared" ca="1" si="0"/>
        <v>-99</v>
      </c>
      <c r="H6" s="66"/>
      <c r="I6" s="175" t="str">
        <f t="shared" ca="1" si="1"/>
        <v>Expired</v>
      </c>
      <c r="J6" s="64"/>
    </row>
    <row r="7" spans="1:10" x14ac:dyDescent="0.25">
      <c r="A7" s="64" t="s">
        <v>1356</v>
      </c>
      <c r="B7" s="64" t="s">
        <v>1357</v>
      </c>
      <c r="C7" s="64" t="s">
        <v>1358</v>
      </c>
      <c r="D7" s="64" t="s">
        <v>1359</v>
      </c>
      <c r="E7" s="65">
        <v>46023</v>
      </c>
      <c r="F7" s="65">
        <v>46387</v>
      </c>
      <c r="G7" s="186">
        <f t="shared" ca="1" si="0"/>
        <v>176</v>
      </c>
      <c r="H7" s="66"/>
      <c r="I7" s="175" t="str">
        <f t="shared" ca="1" si="1"/>
        <v>Active</v>
      </c>
      <c r="J7" s="64"/>
    </row>
    <row r="8" spans="1:10" x14ac:dyDescent="0.25">
      <c r="A8" s="64" t="s">
        <v>1360</v>
      </c>
      <c r="B8" s="64" t="s">
        <v>1361</v>
      </c>
      <c r="C8" s="64" t="s">
        <v>1358</v>
      </c>
      <c r="D8" s="64" t="s">
        <v>1359</v>
      </c>
      <c r="E8" s="65">
        <v>46023</v>
      </c>
      <c r="F8" s="65">
        <v>46387</v>
      </c>
      <c r="G8" s="186">
        <f t="shared" ca="1" si="0"/>
        <v>176</v>
      </c>
      <c r="H8" s="66"/>
      <c r="I8" s="175" t="str">
        <f t="shared" ca="1" si="1"/>
        <v>Active</v>
      </c>
      <c r="J8" s="64"/>
    </row>
    <row r="9" spans="1:10" x14ac:dyDescent="0.25">
      <c r="A9" s="64" t="s">
        <v>1362</v>
      </c>
      <c r="B9" s="64" t="s">
        <v>1363</v>
      </c>
      <c r="C9" s="64" t="s">
        <v>1364</v>
      </c>
      <c r="D9" s="64" t="s">
        <v>1365</v>
      </c>
      <c r="E9" s="65">
        <v>46023</v>
      </c>
      <c r="F9" s="65">
        <v>46387</v>
      </c>
      <c r="G9" s="186">
        <f t="shared" ca="1" si="0"/>
        <v>176</v>
      </c>
      <c r="H9" s="66"/>
      <c r="I9" s="175" t="str">
        <f t="shared" ca="1" si="1"/>
        <v>Active</v>
      </c>
      <c r="J9" s="64"/>
    </row>
    <row r="10" spans="1:10" x14ac:dyDescent="0.25">
      <c r="A10" s="64" t="s">
        <v>1366</v>
      </c>
      <c r="B10" s="64" t="s">
        <v>1367</v>
      </c>
      <c r="C10" s="64" t="s">
        <v>1368</v>
      </c>
      <c r="D10" s="64" t="s">
        <v>1369</v>
      </c>
      <c r="E10" s="65">
        <v>46047</v>
      </c>
      <c r="F10" s="65">
        <v>46411</v>
      </c>
      <c r="G10" s="186">
        <f t="shared" ca="1" si="0"/>
        <v>200</v>
      </c>
      <c r="H10" s="66"/>
      <c r="I10" s="175" t="str">
        <f t="shared" ca="1" si="1"/>
        <v>Active</v>
      </c>
      <c r="J10" s="64"/>
    </row>
    <row r="11" spans="1:10" x14ac:dyDescent="0.25">
      <c r="A11" s="64" t="s">
        <v>1370</v>
      </c>
      <c r="B11" s="64" t="s">
        <v>1371</v>
      </c>
      <c r="C11" s="64" t="s">
        <v>1368</v>
      </c>
      <c r="D11" s="64" t="s">
        <v>1372</v>
      </c>
      <c r="E11" s="65">
        <v>45962</v>
      </c>
      <c r="F11" s="65">
        <v>46326</v>
      </c>
      <c r="G11" s="186">
        <f t="shared" ca="1" si="0"/>
        <v>115</v>
      </c>
      <c r="H11" s="66"/>
      <c r="I11" s="175" t="str">
        <f t="shared" ca="1" si="1"/>
        <v>Active</v>
      </c>
      <c r="J11" s="64"/>
    </row>
    <row r="12" spans="1:10" x14ac:dyDescent="0.25">
      <c r="A12" s="64" t="s">
        <v>1373</v>
      </c>
      <c r="B12" s="64" t="s">
        <v>1374</v>
      </c>
      <c r="C12" s="64" t="s">
        <v>1368</v>
      </c>
      <c r="D12" s="64" t="s">
        <v>1375</v>
      </c>
      <c r="E12" s="65">
        <v>46023</v>
      </c>
      <c r="F12" s="65">
        <v>46387</v>
      </c>
      <c r="G12" s="186">
        <f t="shared" ca="1" si="0"/>
        <v>176</v>
      </c>
      <c r="H12" s="66"/>
      <c r="I12" s="175" t="str">
        <f t="shared" ca="1" si="1"/>
        <v>Active</v>
      </c>
      <c r="J12" s="64"/>
    </row>
    <row r="13" spans="1:10" x14ac:dyDescent="0.25">
      <c r="A13" s="64" t="s">
        <v>1376</v>
      </c>
      <c r="B13" s="64" t="s">
        <v>1377</v>
      </c>
      <c r="C13" s="64" t="s">
        <v>1378</v>
      </c>
      <c r="D13" s="64" t="s">
        <v>983</v>
      </c>
      <c r="E13" s="65">
        <v>45292</v>
      </c>
      <c r="F13" s="65">
        <v>46752</v>
      </c>
      <c r="G13" s="186">
        <f t="shared" ca="1" si="0"/>
        <v>541</v>
      </c>
      <c r="H13" s="66"/>
      <c r="I13" s="175" t="str">
        <f t="shared" ca="1" si="1"/>
        <v>Active</v>
      </c>
      <c r="J13" s="64"/>
    </row>
    <row r="14" spans="1:10" x14ac:dyDescent="0.25">
      <c r="A14" s="64" t="s">
        <v>1379</v>
      </c>
      <c r="B14" s="64" t="s">
        <v>1380</v>
      </c>
      <c r="C14" s="64" t="s">
        <v>167</v>
      </c>
      <c r="D14" s="64" t="s">
        <v>1381</v>
      </c>
      <c r="E14" s="65">
        <v>43952</v>
      </c>
      <c r="F14" s="65">
        <v>46142</v>
      </c>
      <c r="G14" s="186">
        <f t="shared" ca="1" si="0"/>
        <v>-69</v>
      </c>
      <c r="H14" s="66"/>
      <c r="I14" s="175" t="str">
        <f t="shared" ca="1" si="1"/>
        <v>Expired</v>
      </c>
      <c r="J14" s="64"/>
    </row>
    <row r="15" spans="1:10" x14ac:dyDescent="0.25">
      <c r="A15" s="64" t="s">
        <v>1382</v>
      </c>
      <c r="B15" s="64" t="s">
        <v>1383</v>
      </c>
      <c r="C15" s="64" t="s">
        <v>1384</v>
      </c>
      <c r="D15" s="64" t="s">
        <v>1385</v>
      </c>
      <c r="E15" s="65">
        <v>45809</v>
      </c>
      <c r="F15" s="65">
        <v>46173</v>
      </c>
      <c r="G15" s="186">
        <f t="shared" ca="1" si="0"/>
        <v>-38</v>
      </c>
      <c r="H15" s="66"/>
      <c r="I15" s="175" t="str">
        <f t="shared" ca="1" si="1"/>
        <v>Expired</v>
      </c>
      <c r="J15" s="64"/>
    </row>
    <row r="16" spans="1:10" x14ac:dyDescent="0.25">
      <c r="A16" s="64" t="s">
        <v>1386</v>
      </c>
      <c r="B16" s="64" t="s">
        <v>1387</v>
      </c>
      <c r="C16" s="64" t="s">
        <v>1368</v>
      </c>
      <c r="D16" s="64" t="s">
        <v>1388</v>
      </c>
      <c r="E16" s="65">
        <v>46023</v>
      </c>
      <c r="F16" s="65">
        <v>46387</v>
      </c>
      <c r="G16" s="186">
        <f t="shared" ca="1" si="0"/>
        <v>176</v>
      </c>
      <c r="H16" s="66"/>
      <c r="I16" s="175" t="str">
        <f t="shared" ca="1" si="1"/>
        <v>Active</v>
      </c>
      <c r="J16" s="64"/>
    </row>
    <row r="17" spans="1:10" x14ac:dyDescent="0.25">
      <c r="A17" s="64" t="s">
        <v>1389</v>
      </c>
      <c r="B17" s="64" t="s">
        <v>1390</v>
      </c>
      <c r="C17" s="64" t="s">
        <v>1364</v>
      </c>
      <c r="D17" s="64" t="s">
        <v>1391</v>
      </c>
      <c r="E17" s="65">
        <v>45839</v>
      </c>
      <c r="F17" s="65">
        <v>46203</v>
      </c>
      <c r="G17" s="186">
        <f t="shared" ca="1" si="0"/>
        <v>-8</v>
      </c>
      <c r="H17" s="66"/>
      <c r="I17" s="175" t="str">
        <f t="shared" ca="1" si="1"/>
        <v>Expired</v>
      </c>
      <c r="J17" s="64"/>
    </row>
    <row r="18" spans="1:10" x14ac:dyDescent="0.25">
      <c r="A18" s="64"/>
      <c r="B18" s="64"/>
      <c r="C18" s="64"/>
      <c r="D18" s="64"/>
      <c r="E18" s="65"/>
      <c r="F18" s="65"/>
      <c r="G18" s="186" t="str">
        <f t="shared" ca="1" si="0"/>
        <v/>
      </c>
      <c r="H18" s="66"/>
      <c r="I18" s="175" t="str">
        <f t="shared" ca="1" si="1"/>
        <v/>
      </c>
      <c r="J18" s="64"/>
    </row>
    <row r="19" spans="1:10" x14ac:dyDescent="0.25">
      <c r="A19" s="64"/>
      <c r="B19" s="64"/>
      <c r="C19" s="64"/>
      <c r="D19" s="64"/>
      <c r="E19" s="65"/>
      <c r="F19" s="65"/>
      <c r="G19" s="186" t="str">
        <f t="shared" ca="1" si="0"/>
        <v/>
      </c>
      <c r="H19" s="66"/>
      <c r="I19" s="175" t="str">
        <f t="shared" ca="1" si="1"/>
        <v/>
      </c>
      <c r="J19" s="64"/>
    </row>
    <row r="20" spans="1:10" x14ac:dyDescent="0.25">
      <c r="A20" s="64"/>
      <c r="B20" s="64"/>
      <c r="C20" s="64"/>
      <c r="D20" s="64"/>
      <c r="E20" s="65"/>
      <c r="F20" s="65"/>
      <c r="G20" s="186" t="str">
        <f t="shared" ca="1" si="0"/>
        <v/>
      </c>
      <c r="H20" s="66"/>
      <c r="I20" s="175" t="str">
        <f t="shared" ca="1" si="1"/>
        <v/>
      </c>
      <c r="J20" s="64"/>
    </row>
    <row r="21" spans="1:10" x14ac:dyDescent="0.25">
      <c r="A21" s="64"/>
      <c r="B21" s="64"/>
      <c r="C21" s="64"/>
      <c r="D21" s="64"/>
      <c r="E21" s="65"/>
      <c r="F21" s="65"/>
      <c r="G21" s="186" t="str">
        <f t="shared" ca="1" si="0"/>
        <v/>
      </c>
      <c r="H21" s="66"/>
      <c r="I21" s="175" t="str">
        <f t="shared" ca="1" si="1"/>
        <v/>
      </c>
      <c r="J21" s="64"/>
    </row>
    <row r="22" spans="1:10" x14ac:dyDescent="0.25">
      <c r="A22" s="64"/>
      <c r="B22" s="64"/>
      <c r="C22" s="64"/>
      <c r="D22" s="64"/>
      <c r="E22" s="65"/>
      <c r="F22" s="65"/>
      <c r="G22" s="186" t="str">
        <f t="shared" ca="1" si="0"/>
        <v/>
      </c>
      <c r="H22" s="66"/>
      <c r="I22" s="175" t="str">
        <f t="shared" ca="1" si="1"/>
        <v/>
      </c>
      <c r="J22" s="64"/>
    </row>
    <row r="23" spans="1:10" x14ac:dyDescent="0.25">
      <c r="A23" s="64"/>
      <c r="B23" s="64"/>
      <c r="C23" s="64"/>
      <c r="D23" s="64"/>
      <c r="E23" s="65"/>
      <c r="F23" s="65"/>
      <c r="G23" s="186" t="str">
        <f t="shared" ca="1" si="0"/>
        <v/>
      </c>
      <c r="H23" s="66"/>
      <c r="I23" s="175" t="str">
        <f t="shared" ca="1" si="1"/>
        <v/>
      </c>
      <c r="J23" s="64"/>
    </row>
    <row r="24" spans="1:10" x14ac:dyDescent="0.25">
      <c r="A24" s="64"/>
      <c r="B24" s="64"/>
      <c r="C24" s="64"/>
      <c r="D24" s="64"/>
      <c r="E24" s="65"/>
      <c r="F24" s="65"/>
      <c r="G24" s="186" t="str">
        <f t="shared" ca="1" si="0"/>
        <v/>
      </c>
      <c r="H24" s="66"/>
      <c r="I24" s="175" t="str">
        <f t="shared" ca="1" si="1"/>
        <v/>
      </c>
      <c r="J24" s="64"/>
    </row>
    <row r="25" spans="1:10" x14ac:dyDescent="0.25">
      <c r="A25" s="64"/>
      <c r="B25" s="64"/>
      <c r="C25" s="64"/>
      <c r="D25" s="64"/>
      <c r="E25" s="65"/>
      <c r="F25" s="65"/>
      <c r="G25" s="186" t="str">
        <f t="shared" ca="1" si="0"/>
        <v/>
      </c>
      <c r="H25" s="66"/>
      <c r="I25" s="175" t="str">
        <f t="shared" ca="1" si="1"/>
        <v/>
      </c>
      <c r="J25" s="64"/>
    </row>
    <row r="26" spans="1:10" x14ac:dyDescent="0.25">
      <c r="A26" s="64"/>
      <c r="B26" s="64"/>
      <c r="C26" s="64"/>
      <c r="D26" s="64"/>
      <c r="E26" s="65"/>
      <c r="F26" s="65"/>
      <c r="G26" s="186" t="str">
        <f t="shared" ca="1" si="0"/>
        <v/>
      </c>
      <c r="H26" s="66"/>
      <c r="I26" s="175" t="str">
        <f t="shared" ca="1" si="1"/>
        <v/>
      </c>
      <c r="J26" s="64"/>
    </row>
    <row r="27" spans="1:10" x14ac:dyDescent="0.25">
      <c r="A27" s="64"/>
      <c r="B27" s="64"/>
      <c r="C27" s="64"/>
      <c r="D27" s="64"/>
      <c r="E27" s="65"/>
      <c r="F27" s="65"/>
      <c r="G27" s="186" t="str">
        <f t="shared" ca="1" si="0"/>
        <v/>
      </c>
      <c r="H27" s="66"/>
      <c r="I27" s="175" t="str">
        <f t="shared" ca="1" si="1"/>
        <v/>
      </c>
      <c r="J27" s="64"/>
    </row>
    <row r="28" spans="1:10" x14ac:dyDescent="0.25">
      <c r="A28" s="64"/>
      <c r="B28" s="64"/>
      <c r="C28" s="64"/>
      <c r="D28" s="64"/>
      <c r="E28" s="65"/>
      <c r="F28" s="65"/>
      <c r="G28" s="186" t="str">
        <f t="shared" ca="1" si="0"/>
        <v/>
      </c>
      <c r="H28" s="66"/>
      <c r="I28" s="175" t="str">
        <f t="shared" ca="1" si="1"/>
        <v/>
      </c>
      <c r="J28" s="64"/>
    </row>
    <row r="29" spans="1:10" x14ac:dyDescent="0.25">
      <c r="A29" s="64"/>
      <c r="B29" s="64"/>
      <c r="C29" s="64"/>
      <c r="D29" s="64"/>
      <c r="E29" s="65"/>
      <c r="F29" s="65"/>
      <c r="G29" s="186" t="str">
        <f t="shared" ca="1" si="0"/>
        <v/>
      </c>
      <c r="H29" s="66"/>
      <c r="I29" s="175" t="str">
        <f t="shared" ca="1" si="1"/>
        <v/>
      </c>
      <c r="J29" s="64"/>
    </row>
    <row r="30" spans="1:10" x14ac:dyDescent="0.25">
      <c r="A30" s="64"/>
      <c r="B30" s="64"/>
      <c r="C30" s="64"/>
      <c r="D30" s="64"/>
      <c r="E30" s="65"/>
      <c r="F30" s="65"/>
      <c r="G30" s="186" t="str">
        <f t="shared" ca="1" si="0"/>
        <v/>
      </c>
      <c r="H30" s="66"/>
      <c r="I30" s="175" t="str">
        <f t="shared" ca="1" si="1"/>
        <v/>
      </c>
      <c r="J30" s="64"/>
    </row>
    <row r="31" spans="1:10" x14ac:dyDescent="0.25">
      <c r="A31" s="64"/>
      <c r="B31" s="64"/>
      <c r="C31" s="64"/>
      <c r="D31" s="64"/>
      <c r="E31" s="65"/>
      <c r="F31" s="65"/>
      <c r="G31" s="186" t="str">
        <f t="shared" ca="1" si="0"/>
        <v/>
      </c>
      <c r="H31" s="66"/>
      <c r="I31" s="175" t="str">
        <f t="shared" ca="1" si="1"/>
        <v/>
      </c>
      <c r="J31" s="64"/>
    </row>
    <row r="32" spans="1:10" x14ac:dyDescent="0.25">
      <c r="A32" s="64"/>
      <c r="B32" s="64"/>
      <c r="C32" s="64"/>
      <c r="D32" s="64"/>
      <c r="E32" s="65"/>
      <c r="F32" s="65"/>
      <c r="G32" s="186" t="str">
        <f t="shared" ca="1" si="0"/>
        <v/>
      </c>
      <c r="H32" s="66"/>
      <c r="I32" s="175" t="str">
        <f t="shared" ca="1" si="1"/>
        <v/>
      </c>
      <c r="J32" s="64"/>
    </row>
    <row r="33" spans="1:10" x14ac:dyDescent="0.25">
      <c r="A33" s="64"/>
      <c r="B33" s="64"/>
      <c r="C33" s="64"/>
      <c r="D33" s="64"/>
      <c r="E33" s="65"/>
      <c r="F33" s="65"/>
      <c r="G33" s="186" t="str">
        <f t="shared" ca="1" si="0"/>
        <v/>
      </c>
      <c r="H33" s="66"/>
      <c r="I33" s="175" t="str">
        <f t="shared" ca="1" si="1"/>
        <v/>
      </c>
      <c r="J33" s="64"/>
    </row>
    <row r="34" spans="1:10" x14ac:dyDescent="0.25">
      <c r="A34" s="64"/>
      <c r="B34" s="64"/>
      <c r="C34" s="64"/>
      <c r="D34" s="64"/>
      <c r="E34" s="65"/>
      <c r="F34" s="65"/>
      <c r="G34" s="186" t="str">
        <f t="shared" ca="1" si="0"/>
        <v/>
      </c>
      <c r="H34" s="66"/>
      <c r="I34" s="175" t="str">
        <f t="shared" ca="1" si="1"/>
        <v/>
      </c>
      <c r="J34" s="64"/>
    </row>
    <row r="35" spans="1:10" x14ac:dyDescent="0.25">
      <c r="A35" s="64"/>
      <c r="B35" s="64"/>
      <c r="C35" s="64"/>
      <c r="D35" s="64"/>
      <c r="E35" s="65"/>
      <c r="F35" s="65"/>
      <c r="G35" s="186" t="str">
        <f t="shared" ref="G35:G52" ca="1" si="2">IFERROR(IF(F35="","",F35-TODAY()),"")</f>
        <v/>
      </c>
      <c r="H35" s="66"/>
      <c r="I35" s="175" t="str">
        <f t="shared" ref="I35:I52" ca="1" si="3">IFERROR(IF(G35="","",IF(G35&lt;0,"Expired",IF(G35&lt;=30,"Urgent",IF(G35&lt;=60,"Due_soon","Active")))),"")</f>
        <v/>
      </c>
      <c r="J35" s="64"/>
    </row>
    <row r="36" spans="1:10" x14ac:dyDescent="0.25">
      <c r="A36" s="64"/>
      <c r="B36" s="64"/>
      <c r="C36" s="64"/>
      <c r="D36" s="64"/>
      <c r="E36" s="65"/>
      <c r="F36" s="65"/>
      <c r="G36" s="186" t="str">
        <f t="shared" ca="1" si="2"/>
        <v/>
      </c>
      <c r="H36" s="66"/>
      <c r="I36" s="175" t="str">
        <f t="shared" ca="1" si="3"/>
        <v/>
      </c>
      <c r="J36" s="64"/>
    </row>
    <row r="37" spans="1:10" x14ac:dyDescent="0.25">
      <c r="A37" s="64"/>
      <c r="B37" s="64"/>
      <c r="C37" s="64"/>
      <c r="D37" s="64"/>
      <c r="E37" s="65"/>
      <c r="F37" s="65"/>
      <c r="G37" s="186" t="str">
        <f t="shared" ca="1" si="2"/>
        <v/>
      </c>
      <c r="H37" s="66"/>
      <c r="I37" s="175" t="str">
        <f t="shared" ca="1" si="3"/>
        <v/>
      </c>
      <c r="J37" s="64"/>
    </row>
    <row r="38" spans="1:10" x14ac:dyDescent="0.25">
      <c r="A38" s="64"/>
      <c r="B38" s="64"/>
      <c r="C38" s="64"/>
      <c r="D38" s="64"/>
      <c r="E38" s="65"/>
      <c r="F38" s="65"/>
      <c r="G38" s="186" t="str">
        <f t="shared" ca="1" si="2"/>
        <v/>
      </c>
      <c r="H38" s="66"/>
      <c r="I38" s="175" t="str">
        <f t="shared" ca="1" si="3"/>
        <v/>
      </c>
      <c r="J38" s="64"/>
    </row>
    <row r="39" spans="1:10" x14ac:dyDescent="0.25">
      <c r="A39" s="64"/>
      <c r="B39" s="64"/>
      <c r="C39" s="64"/>
      <c r="D39" s="64"/>
      <c r="E39" s="65"/>
      <c r="F39" s="65"/>
      <c r="G39" s="186" t="str">
        <f t="shared" ca="1" si="2"/>
        <v/>
      </c>
      <c r="H39" s="66"/>
      <c r="I39" s="175" t="str">
        <f t="shared" ca="1" si="3"/>
        <v/>
      </c>
      <c r="J39" s="64"/>
    </row>
    <row r="40" spans="1:10" x14ac:dyDescent="0.25">
      <c r="A40" s="64"/>
      <c r="B40" s="64"/>
      <c r="C40" s="64"/>
      <c r="D40" s="64"/>
      <c r="E40" s="65"/>
      <c r="F40" s="65"/>
      <c r="G40" s="186" t="str">
        <f t="shared" ca="1" si="2"/>
        <v/>
      </c>
      <c r="H40" s="66"/>
      <c r="I40" s="175" t="str">
        <f t="shared" ca="1" si="3"/>
        <v/>
      </c>
      <c r="J40" s="64"/>
    </row>
    <row r="41" spans="1:10" x14ac:dyDescent="0.25">
      <c r="A41" s="64"/>
      <c r="B41" s="64"/>
      <c r="C41" s="64"/>
      <c r="D41" s="64"/>
      <c r="E41" s="65"/>
      <c r="F41" s="65"/>
      <c r="G41" s="186" t="str">
        <f t="shared" ca="1" si="2"/>
        <v/>
      </c>
      <c r="H41" s="66"/>
      <c r="I41" s="175" t="str">
        <f t="shared" ca="1" si="3"/>
        <v/>
      </c>
      <c r="J41" s="64"/>
    </row>
    <row r="42" spans="1:10" x14ac:dyDescent="0.25">
      <c r="A42" s="64"/>
      <c r="B42" s="64"/>
      <c r="C42" s="64"/>
      <c r="D42" s="64"/>
      <c r="E42" s="65"/>
      <c r="F42" s="65"/>
      <c r="G42" s="186" t="str">
        <f t="shared" ca="1" si="2"/>
        <v/>
      </c>
      <c r="H42" s="66"/>
      <c r="I42" s="175" t="str">
        <f t="shared" ca="1" si="3"/>
        <v/>
      </c>
      <c r="J42" s="64"/>
    </row>
    <row r="43" spans="1:10" x14ac:dyDescent="0.25">
      <c r="A43" s="64"/>
      <c r="B43" s="64"/>
      <c r="C43" s="64"/>
      <c r="D43" s="64"/>
      <c r="E43" s="65"/>
      <c r="F43" s="65"/>
      <c r="G43" s="186" t="str">
        <f t="shared" ca="1" si="2"/>
        <v/>
      </c>
      <c r="H43" s="66"/>
      <c r="I43" s="175" t="str">
        <f t="shared" ca="1" si="3"/>
        <v/>
      </c>
      <c r="J43" s="64"/>
    </row>
    <row r="44" spans="1:10" x14ac:dyDescent="0.25">
      <c r="A44" s="64"/>
      <c r="B44" s="64"/>
      <c r="C44" s="64"/>
      <c r="D44" s="64"/>
      <c r="E44" s="65"/>
      <c r="F44" s="65"/>
      <c r="G44" s="186" t="str">
        <f t="shared" ca="1" si="2"/>
        <v/>
      </c>
      <c r="H44" s="66"/>
      <c r="I44" s="175" t="str">
        <f t="shared" ca="1" si="3"/>
        <v/>
      </c>
      <c r="J44" s="64"/>
    </row>
    <row r="45" spans="1:10" x14ac:dyDescent="0.25">
      <c r="A45" s="64"/>
      <c r="B45" s="64"/>
      <c r="C45" s="64"/>
      <c r="D45" s="64"/>
      <c r="E45" s="65"/>
      <c r="F45" s="65"/>
      <c r="G45" s="186" t="str">
        <f t="shared" ca="1" si="2"/>
        <v/>
      </c>
      <c r="H45" s="66"/>
      <c r="I45" s="175" t="str">
        <f t="shared" ca="1" si="3"/>
        <v/>
      </c>
      <c r="J45" s="64"/>
    </row>
    <row r="46" spans="1:10" x14ac:dyDescent="0.25">
      <c r="A46" s="64"/>
      <c r="B46" s="64"/>
      <c r="C46" s="64"/>
      <c r="D46" s="64"/>
      <c r="E46" s="65"/>
      <c r="F46" s="65"/>
      <c r="G46" s="186" t="str">
        <f t="shared" ca="1" si="2"/>
        <v/>
      </c>
      <c r="H46" s="66"/>
      <c r="I46" s="175" t="str">
        <f t="shared" ca="1" si="3"/>
        <v/>
      </c>
      <c r="J46" s="64"/>
    </row>
    <row r="47" spans="1:10" x14ac:dyDescent="0.25">
      <c r="A47" s="64"/>
      <c r="B47" s="64"/>
      <c r="C47" s="64"/>
      <c r="D47" s="64"/>
      <c r="E47" s="65"/>
      <c r="F47" s="65"/>
      <c r="G47" s="186" t="str">
        <f t="shared" ca="1" si="2"/>
        <v/>
      </c>
      <c r="H47" s="66"/>
      <c r="I47" s="175" t="str">
        <f t="shared" ca="1" si="3"/>
        <v/>
      </c>
      <c r="J47" s="64"/>
    </row>
    <row r="48" spans="1:10" x14ac:dyDescent="0.25">
      <c r="A48" s="64"/>
      <c r="B48" s="64"/>
      <c r="C48" s="64"/>
      <c r="D48" s="64"/>
      <c r="E48" s="65"/>
      <c r="F48" s="65"/>
      <c r="G48" s="186" t="str">
        <f t="shared" ca="1" si="2"/>
        <v/>
      </c>
      <c r="H48" s="66"/>
      <c r="I48" s="175" t="str">
        <f t="shared" ca="1" si="3"/>
        <v/>
      </c>
      <c r="J48" s="64"/>
    </row>
    <row r="49" spans="1:10" x14ac:dyDescent="0.25">
      <c r="A49" s="64"/>
      <c r="B49" s="64"/>
      <c r="C49" s="64"/>
      <c r="D49" s="64"/>
      <c r="E49" s="65"/>
      <c r="F49" s="65"/>
      <c r="G49" s="186" t="str">
        <f t="shared" ca="1" si="2"/>
        <v/>
      </c>
      <c r="H49" s="66"/>
      <c r="I49" s="175" t="str">
        <f t="shared" ca="1" si="3"/>
        <v/>
      </c>
      <c r="J49" s="64"/>
    </row>
    <row r="50" spans="1:10" x14ac:dyDescent="0.25">
      <c r="A50" s="64"/>
      <c r="B50" s="64"/>
      <c r="C50" s="64"/>
      <c r="D50" s="64"/>
      <c r="E50" s="65"/>
      <c r="F50" s="65"/>
      <c r="G50" s="186" t="str">
        <f t="shared" ca="1" si="2"/>
        <v/>
      </c>
      <c r="H50" s="66"/>
      <c r="I50" s="175" t="str">
        <f t="shared" ca="1" si="3"/>
        <v/>
      </c>
      <c r="J50" s="64"/>
    </row>
    <row r="51" spans="1:10" x14ac:dyDescent="0.25">
      <c r="A51" s="64"/>
      <c r="B51" s="64"/>
      <c r="C51" s="64"/>
      <c r="D51" s="64"/>
      <c r="E51" s="65"/>
      <c r="F51" s="65"/>
      <c r="G51" s="186" t="str">
        <f t="shared" ca="1" si="2"/>
        <v/>
      </c>
      <c r="H51" s="66"/>
      <c r="I51" s="175" t="str">
        <f t="shared" ca="1" si="3"/>
        <v/>
      </c>
      <c r="J51" s="64"/>
    </row>
    <row r="52" spans="1:10" x14ac:dyDescent="0.25">
      <c r="A52" s="64"/>
      <c r="B52" s="64"/>
      <c r="C52" s="64"/>
      <c r="D52" s="64"/>
      <c r="E52" s="65"/>
      <c r="F52" s="65"/>
      <c r="G52" s="186" t="str">
        <f t="shared" ca="1" si="2"/>
        <v/>
      </c>
      <c r="H52" s="66"/>
      <c r="I52" s="175" t="str">
        <f t="shared" ca="1" si="3"/>
        <v/>
      </c>
      <c r="J52" s="64"/>
    </row>
    <row r="53" spans="1:10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x14ac:dyDescent="0.25">
      <c r="A54" s="159" t="s">
        <v>1392</v>
      </c>
      <c r="B54" s="61"/>
      <c r="C54" s="61"/>
      <c r="D54" s="61"/>
      <c r="E54" s="61"/>
      <c r="F54" s="61"/>
      <c r="G54" s="61"/>
      <c r="H54" s="160">
        <f>SUM(H3:H52)</f>
        <v>0</v>
      </c>
      <c r="I54" s="61"/>
      <c r="J54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I3:I52">
    <cfRule type="cellIs" dxfId="5" priority="2" operator="equal">
      <formula>"Expired"</formula>
    </cfRule>
    <cfRule type="cellIs" dxfId="4" priority="3" operator="equal">
      <formula>"Urgent"</formula>
    </cfRule>
    <cfRule type="cellIs" dxfId="3" priority="4" operator="equal">
      <formula>"Due_soon"</formula>
    </cfRule>
    <cfRule type="cellIs" dxfId="2" priority="5" operator="equal">
      <formula>"Active"</formula>
    </cfRule>
  </conditionalFormatting>
  <dataValidations count="1">
    <dataValidation type="list" allowBlank="1" sqref="C3:C52" xr:uid="{00000000-0002-0000-1F00-000000000000}">
      <formula1>"Insurance,Vehicle_registration,Business_licence,Trade_licence,Software_licence,Supplier_contract,Lease,Warranty,Domain_hosting,Other"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595959"/>
  </sheetPr>
  <dimension ref="A1:I3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32" customWidth="1"/>
    <col min="3" max="3" width="16" customWidth="1"/>
    <col min="4" max="4" width="22" customWidth="1"/>
    <col min="5" max="5" width="10" customWidth="1"/>
    <col min="6" max="6" width="16" customWidth="1"/>
    <col min="7" max="7" width="12" customWidth="1"/>
    <col min="8" max="8" width="14" customWidth="1"/>
    <col min="9" max="9" width="30" customWidth="1"/>
  </cols>
  <sheetData>
    <row r="1" spans="1:9" ht="30" customHeight="1" x14ac:dyDescent="0.25">
      <c r="A1" s="71" t="s">
        <v>1393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 x14ac:dyDescent="0.25">
      <c r="A2" s="63" t="s">
        <v>1394</v>
      </c>
      <c r="B2" s="63" t="s">
        <v>801</v>
      </c>
      <c r="C2" s="63" t="s">
        <v>334</v>
      </c>
      <c r="D2" s="63" t="s">
        <v>1056</v>
      </c>
      <c r="E2" s="63" t="s">
        <v>491</v>
      </c>
      <c r="F2" s="63" t="s">
        <v>1395</v>
      </c>
      <c r="G2" s="63" t="s">
        <v>1396</v>
      </c>
      <c r="H2" s="63" t="s">
        <v>1397</v>
      </c>
      <c r="I2" s="63" t="s">
        <v>226</v>
      </c>
    </row>
    <row r="3" spans="1:9" ht="15" customHeight="1" x14ac:dyDescent="0.25">
      <c r="A3" s="116" t="s">
        <v>566</v>
      </c>
      <c r="B3" s="184" t="s">
        <v>494</v>
      </c>
      <c r="C3" s="184" t="s">
        <v>1398</v>
      </c>
      <c r="D3" s="184" t="s">
        <v>1059</v>
      </c>
      <c r="E3" s="184" t="s">
        <v>495</v>
      </c>
      <c r="F3" s="79">
        <v>12.5</v>
      </c>
      <c r="G3" s="187">
        <v>120</v>
      </c>
      <c r="H3" s="188" t="s">
        <v>1399</v>
      </c>
      <c r="I3" s="184"/>
    </row>
    <row r="4" spans="1:9" ht="15" customHeight="1" x14ac:dyDescent="0.25">
      <c r="A4" s="116" t="s">
        <v>1400</v>
      </c>
      <c r="B4" s="184" t="s">
        <v>1401</v>
      </c>
      <c r="C4" s="184" t="s">
        <v>1398</v>
      </c>
      <c r="D4" s="184" t="s">
        <v>1059</v>
      </c>
      <c r="E4" s="184" t="s">
        <v>495</v>
      </c>
      <c r="F4" s="79">
        <v>13.2</v>
      </c>
      <c r="G4" s="187">
        <v>80</v>
      </c>
      <c r="H4" s="188" t="s">
        <v>1399</v>
      </c>
      <c r="I4" s="184"/>
    </row>
    <row r="5" spans="1:9" ht="15" customHeight="1" x14ac:dyDescent="0.25">
      <c r="A5" s="116" t="s">
        <v>657</v>
      </c>
      <c r="B5" s="184" t="s">
        <v>1402</v>
      </c>
      <c r="C5" s="184" t="s">
        <v>1398</v>
      </c>
      <c r="D5" s="184" t="s">
        <v>1059</v>
      </c>
      <c r="E5" s="184" t="s">
        <v>495</v>
      </c>
      <c r="F5" s="79">
        <v>14.8</v>
      </c>
      <c r="G5" s="187">
        <v>60</v>
      </c>
      <c r="H5" s="188" t="s">
        <v>1399</v>
      </c>
      <c r="I5" s="184"/>
    </row>
    <row r="6" spans="1:9" ht="15" customHeight="1" x14ac:dyDescent="0.25">
      <c r="A6" s="116" t="s">
        <v>1403</v>
      </c>
      <c r="B6" s="184" t="s">
        <v>496</v>
      </c>
      <c r="C6" s="184" t="s">
        <v>1398</v>
      </c>
      <c r="D6" s="184" t="s">
        <v>1059</v>
      </c>
      <c r="E6" s="184" t="s">
        <v>495</v>
      </c>
      <c r="F6" s="79">
        <v>16.399999999999999</v>
      </c>
      <c r="G6" s="187">
        <v>40</v>
      </c>
      <c r="H6" s="188" t="s">
        <v>1399</v>
      </c>
      <c r="I6" s="184" t="s">
        <v>1404</v>
      </c>
    </row>
    <row r="7" spans="1:9" ht="15" customHeight="1" x14ac:dyDescent="0.25">
      <c r="A7" s="116" t="s">
        <v>570</v>
      </c>
      <c r="B7" s="184" t="s">
        <v>1405</v>
      </c>
      <c r="C7" s="184" t="s">
        <v>1406</v>
      </c>
      <c r="D7" s="184" t="s">
        <v>1061</v>
      </c>
      <c r="E7" s="184" t="s">
        <v>495</v>
      </c>
      <c r="F7" s="79">
        <v>9.8000000000000007</v>
      </c>
      <c r="G7" s="187">
        <v>90</v>
      </c>
      <c r="H7" s="188" t="s">
        <v>1399</v>
      </c>
      <c r="I7" s="184"/>
    </row>
    <row r="8" spans="1:9" ht="15" customHeight="1" x14ac:dyDescent="0.25">
      <c r="A8" s="116" t="s">
        <v>1062</v>
      </c>
      <c r="B8" s="184" t="s">
        <v>497</v>
      </c>
      <c r="C8" s="184" t="s">
        <v>1406</v>
      </c>
      <c r="D8" s="184" t="s">
        <v>1061</v>
      </c>
      <c r="E8" s="184" t="s">
        <v>495</v>
      </c>
      <c r="F8" s="79">
        <v>10.9</v>
      </c>
      <c r="G8" s="187">
        <v>100</v>
      </c>
      <c r="H8" s="188" t="s">
        <v>1399</v>
      </c>
      <c r="I8" s="184"/>
    </row>
    <row r="9" spans="1:9" ht="15" customHeight="1" x14ac:dyDescent="0.25">
      <c r="A9" s="116" t="s">
        <v>1407</v>
      </c>
      <c r="B9" s="184" t="s">
        <v>1408</v>
      </c>
      <c r="C9" s="184" t="s">
        <v>1406</v>
      </c>
      <c r="D9" s="184" t="s">
        <v>1061</v>
      </c>
      <c r="E9" s="184" t="s">
        <v>495</v>
      </c>
      <c r="F9" s="79">
        <v>14.3</v>
      </c>
      <c r="G9" s="187">
        <v>40</v>
      </c>
      <c r="H9" s="188" t="s">
        <v>1399</v>
      </c>
      <c r="I9" s="184"/>
    </row>
    <row r="10" spans="1:9" ht="15" customHeight="1" x14ac:dyDescent="0.25">
      <c r="A10" s="116" t="s">
        <v>1409</v>
      </c>
      <c r="B10" s="184" t="s">
        <v>1410</v>
      </c>
      <c r="C10" s="184" t="s">
        <v>1406</v>
      </c>
      <c r="D10" s="184" t="s">
        <v>1061</v>
      </c>
      <c r="E10" s="184" t="s">
        <v>495</v>
      </c>
      <c r="F10" s="79">
        <v>13.1</v>
      </c>
      <c r="G10" s="187">
        <v>30</v>
      </c>
      <c r="H10" s="188" t="s">
        <v>1399</v>
      </c>
      <c r="I10" s="184"/>
    </row>
    <row r="11" spans="1:9" ht="15" customHeight="1" x14ac:dyDescent="0.25">
      <c r="A11" s="116" t="s">
        <v>1411</v>
      </c>
      <c r="B11" s="184" t="s">
        <v>1412</v>
      </c>
      <c r="C11" s="184" t="s">
        <v>1413</v>
      </c>
      <c r="D11" s="184" t="s">
        <v>1414</v>
      </c>
      <c r="E11" s="184" t="s">
        <v>495</v>
      </c>
      <c r="F11" s="79">
        <v>18.5</v>
      </c>
      <c r="G11" s="187">
        <v>35</v>
      </c>
      <c r="H11" s="188" t="s">
        <v>1399</v>
      </c>
      <c r="I11" s="184"/>
    </row>
    <row r="12" spans="1:9" ht="15" customHeight="1" x14ac:dyDescent="0.25">
      <c r="A12" s="116" t="s">
        <v>1415</v>
      </c>
      <c r="B12" s="184" t="s">
        <v>498</v>
      </c>
      <c r="C12" s="184" t="s">
        <v>1413</v>
      </c>
      <c r="D12" s="184" t="s">
        <v>1414</v>
      </c>
      <c r="E12" s="184" t="s">
        <v>495</v>
      </c>
      <c r="F12" s="79">
        <v>24</v>
      </c>
      <c r="G12" s="187">
        <v>45</v>
      </c>
      <c r="H12" s="188" t="s">
        <v>1399</v>
      </c>
      <c r="I12" s="184"/>
    </row>
    <row r="13" spans="1:9" ht="15" customHeight="1" x14ac:dyDescent="0.25">
      <c r="A13" s="116" t="s">
        <v>1416</v>
      </c>
      <c r="B13" s="184" t="s">
        <v>1417</v>
      </c>
      <c r="C13" s="184" t="s">
        <v>1413</v>
      </c>
      <c r="D13" s="184" t="s">
        <v>1414</v>
      </c>
      <c r="E13" s="184" t="s">
        <v>495</v>
      </c>
      <c r="F13" s="79">
        <v>32</v>
      </c>
      <c r="G13" s="187">
        <v>20</v>
      </c>
      <c r="H13" s="188" t="s">
        <v>1399</v>
      </c>
      <c r="I13" s="184" t="s">
        <v>1418</v>
      </c>
    </row>
    <row r="14" spans="1:9" ht="15" customHeight="1" x14ac:dyDescent="0.25">
      <c r="A14" s="116" t="s">
        <v>1419</v>
      </c>
      <c r="B14" s="184" t="s">
        <v>1420</v>
      </c>
      <c r="C14" s="184" t="s">
        <v>1421</v>
      </c>
      <c r="D14" s="184" t="s">
        <v>1422</v>
      </c>
      <c r="E14" s="184" t="s">
        <v>495</v>
      </c>
      <c r="F14" s="79">
        <v>22</v>
      </c>
      <c r="G14" s="187">
        <v>25</v>
      </c>
      <c r="H14" s="188" t="s">
        <v>1399</v>
      </c>
      <c r="I14" s="184"/>
    </row>
    <row r="15" spans="1:9" ht="15" customHeight="1" x14ac:dyDescent="0.25">
      <c r="A15" s="116" t="s">
        <v>1423</v>
      </c>
      <c r="B15" s="184" t="s">
        <v>1424</v>
      </c>
      <c r="C15" s="184" t="s">
        <v>1421</v>
      </c>
      <c r="D15" s="184" t="s">
        <v>1422</v>
      </c>
      <c r="E15" s="184" t="s">
        <v>495</v>
      </c>
      <c r="F15" s="79">
        <v>34</v>
      </c>
      <c r="G15" s="187">
        <v>15</v>
      </c>
      <c r="H15" s="188" t="s">
        <v>1399</v>
      </c>
      <c r="I15" s="184"/>
    </row>
    <row r="16" spans="1:9" ht="15" customHeight="1" x14ac:dyDescent="0.25">
      <c r="A16" s="116" t="s">
        <v>1425</v>
      </c>
      <c r="B16" s="184" t="s">
        <v>499</v>
      </c>
      <c r="C16" s="184" t="s">
        <v>1426</v>
      </c>
      <c r="D16" s="184" t="s">
        <v>1077</v>
      </c>
      <c r="E16" s="184" t="s">
        <v>500</v>
      </c>
      <c r="F16" s="79">
        <v>1200</v>
      </c>
      <c r="G16" s="187">
        <v>4</v>
      </c>
      <c r="H16" s="188" t="s">
        <v>1399</v>
      </c>
      <c r="I16" s="184"/>
    </row>
    <row r="17" spans="1:9" ht="15" customHeight="1" x14ac:dyDescent="0.25">
      <c r="A17" s="116" t="s">
        <v>1427</v>
      </c>
      <c r="B17" s="184" t="s">
        <v>1428</v>
      </c>
      <c r="C17" s="184" t="s">
        <v>1426</v>
      </c>
      <c r="D17" s="184" t="s">
        <v>1077</v>
      </c>
      <c r="E17" s="184" t="s">
        <v>500</v>
      </c>
      <c r="F17" s="79">
        <v>900</v>
      </c>
      <c r="G17" s="187">
        <v>3</v>
      </c>
      <c r="H17" s="188" t="s">
        <v>1399</v>
      </c>
      <c r="I17" s="184"/>
    </row>
    <row r="18" spans="1:9" ht="15" customHeight="1" x14ac:dyDescent="0.25">
      <c r="A18" s="116" t="s">
        <v>1078</v>
      </c>
      <c r="B18" s="184" t="s">
        <v>1429</v>
      </c>
      <c r="C18" s="184" t="s">
        <v>1426</v>
      </c>
      <c r="D18" s="184" t="s">
        <v>1077</v>
      </c>
      <c r="E18" s="184" t="s">
        <v>500</v>
      </c>
      <c r="F18" s="79">
        <v>1800</v>
      </c>
      <c r="G18" s="187">
        <v>2</v>
      </c>
      <c r="H18" s="188" t="s">
        <v>1399</v>
      </c>
      <c r="I18" s="184" t="s">
        <v>1430</v>
      </c>
    </row>
    <row r="19" spans="1:9" ht="15" customHeight="1" x14ac:dyDescent="0.25">
      <c r="A19" s="116" t="s">
        <v>1075</v>
      </c>
      <c r="B19" s="184" t="s">
        <v>501</v>
      </c>
      <c r="C19" s="184" t="s">
        <v>475</v>
      </c>
      <c r="D19" s="184" t="s">
        <v>1074</v>
      </c>
      <c r="E19" s="184" t="s">
        <v>502</v>
      </c>
      <c r="F19" s="79">
        <v>22</v>
      </c>
      <c r="G19" s="187">
        <v>60</v>
      </c>
      <c r="H19" s="188" t="s">
        <v>1399</v>
      </c>
      <c r="I19" s="184"/>
    </row>
    <row r="20" spans="1:9" ht="15" customHeight="1" x14ac:dyDescent="0.25">
      <c r="A20" s="116" t="s">
        <v>1431</v>
      </c>
      <c r="B20" s="184" t="s">
        <v>1432</v>
      </c>
      <c r="C20" s="184" t="s">
        <v>475</v>
      </c>
      <c r="D20" s="184" t="s">
        <v>1074</v>
      </c>
      <c r="E20" s="184" t="s">
        <v>502</v>
      </c>
      <c r="F20" s="79">
        <v>20</v>
      </c>
      <c r="G20" s="187">
        <v>50</v>
      </c>
      <c r="H20" s="188" t="s">
        <v>1399</v>
      </c>
      <c r="I20" s="184"/>
    </row>
    <row r="21" spans="1:9" ht="15" customHeight="1" x14ac:dyDescent="0.25">
      <c r="A21" s="116" t="s">
        <v>1433</v>
      </c>
      <c r="B21" s="184" t="s">
        <v>1434</v>
      </c>
      <c r="C21" s="184" t="s">
        <v>475</v>
      </c>
      <c r="D21" s="184" t="s">
        <v>1074</v>
      </c>
      <c r="E21" s="184" t="s">
        <v>502</v>
      </c>
      <c r="F21" s="79">
        <v>18</v>
      </c>
      <c r="G21" s="187">
        <v>20</v>
      </c>
      <c r="H21" s="188" t="s">
        <v>1399</v>
      </c>
      <c r="I21" s="184"/>
    </row>
    <row r="22" spans="1:9" ht="15" customHeight="1" x14ac:dyDescent="0.25">
      <c r="A22" s="116" t="s">
        <v>1435</v>
      </c>
      <c r="B22" s="184" t="s">
        <v>1436</v>
      </c>
      <c r="C22" s="184" t="s">
        <v>471</v>
      </c>
      <c r="D22" s="184" t="s">
        <v>1437</v>
      </c>
      <c r="E22" s="184" t="s">
        <v>504</v>
      </c>
      <c r="F22" s="79">
        <v>0.45</v>
      </c>
      <c r="G22" s="187">
        <v>500</v>
      </c>
      <c r="H22" s="188" t="s">
        <v>1399</v>
      </c>
      <c r="I22" s="184"/>
    </row>
    <row r="23" spans="1:9" ht="15" customHeight="1" x14ac:dyDescent="0.25">
      <c r="A23" s="116" t="s">
        <v>1438</v>
      </c>
      <c r="B23" s="184" t="s">
        <v>1439</v>
      </c>
      <c r="C23" s="184" t="s">
        <v>471</v>
      </c>
      <c r="D23" s="184" t="s">
        <v>1437</v>
      </c>
      <c r="E23" s="184" t="s">
        <v>504</v>
      </c>
      <c r="F23" s="79">
        <v>0.6</v>
      </c>
      <c r="G23" s="187">
        <v>350</v>
      </c>
      <c r="H23" s="188" t="s">
        <v>1399</v>
      </c>
      <c r="I23" s="184"/>
    </row>
    <row r="24" spans="1:9" ht="15" customHeight="1" x14ac:dyDescent="0.25">
      <c r="A24" s="116" t="s">
        <v>1440</v>
      </c>
      <c r="B24" s="184" t="s">
        <v>1441</v>
      </c>
      <c r="C24" s="184" t="s">
        <v>471</v>
      </c>
      <c r="D24" s="184" t="s">
        <v>1437</v>
      </c>
      <c r="E24" s="184" t="s">
        <v>504</v>
      </c>
      <c r="F24" s="79">
        <v>0.9</v>
      </c>
      <c r="G24" s="187">
        <v>200</v>
      </c>
      <c r="H24" s="188" t="s">
        <v>1399</v>
      </c>
      <c r="I24" s="184"/>
    </row>
    <row r="25" spans="1:9" ht="15" customHeight="1" x14ac:dyDescent="0.25">
      <c r="A25" s="116" t="s">
        <v>1442</v>
      </c>
      <c r="B25" s="184" t="s">
        <v>1443</v>
      </c>
      <c r="C25" s="184" t="s">
        <v>812</v>
      </c>
      <c r="D25" s="184" t="s">
        <v>1444</v>
      </c>
      <c r="E25" s="184" t="s">
        <v>495</v>
      </c>
      <c r="F25" s="79">
        <v>28</v>
      </c>
      <c r="G25" s="187">
        <v>10</v>
      </c>
      <c r="H25" s="188" t="s">
        <v>1399</v>
      </c>
      <c r="I25" s="184"/>
    </row>
    <row r="26" spans="1:9" ht="15" customHeight="1" x14ac:dyDescent="0.25">
      <c r="A26" s="116" t="s">
        <v>1445</v>
      </c>
      <c r="B26" s="184" t="s">
        <v>1446</v>
      </c>
      <c r="C26" s="184" t="s">
        <v>812</v>
      </c>
      <c r="D26" s="184" t="s">
        <v>1444</v>
      </c>
      <c r="E26" s="184" t="s">
        <v>495</v>
      </c>
      <c r="F26" s="79">
        <v>48</v>
      </c>
      <c r="G26" s="187">
        <v>6</v>
      </c>
      <c r="H26" s="188" t="s">
        <v>1399</v>
      </c>
      <c r="I26" s="184"/>
    </row>
    <row r="27" spans="1:9" ht="15" customHeight="1" x14ac:dyDescent="0.25">
      <c r="A27" s="116" t="s">
        <v>1447</v>
      </c>
      <c r="B27" s="184" t="s">
        <v>1448</v>
      </c>
      <c r="C27" s="184" t="s">
        <v>1449</v>
      </c>
      <c r="D27" s="184" t="s">
        <v>1450</v>
      </c>
      <c r="E27" s="184" t="s">
        <v>504</v>
      </c>
      <c r="F27" s="79">
        <v>7.5</v>
      </c>
      <c r="G27" s="187">
        <v>150</v>
      </c>
      <c r="H27" s="188" t="s">
        <v>1399</v>
      </c>
      <c r="I27" s="184"/>
    </row>
    <row r="28" spans="1:9" ht="15" customHeight="1" x14ac:dyDescent="0.25">
      <c r="A28" s="116" t="s">
        <v>1451</v>
      </c>
      <c r="B28" s="184" t="s">
        <v>1452</v>
      </c>
      <c r="C28" s="184" t="s">
        <v>1453</v>
      </c>
      <c r="D28" s="184" t="s">
        <v>1454</v>
      </c>
      <c r="E28" s="184" t="s">
        <v>504</v>
      </c>
      <c r="F28" s="79">
        <v>0.8</v>
      </c>
      <c r="G28" s="187">
        <v>300</v>
      </c>
      <c r="H28" s="188" t="s">
        <v>1399</v>
      </c>
      <c r="I28" s="184"/>
    </row>
    <row r="29" spans="1:9" ht="15" customHeight="1" x14ac:dyDescent="0.25">
      <c r="A29" s="116" t="s">
        <v>1455</v>
      </c>
      <c r="B29" s="184" t="s">
        <v>1456</v>
      </c>
      <c r="C29" s="184" t="s">
        <v>1453</v>
      </c>
      <c r="D29" s="184" t="s">
        <v>1454</v>
      </c>
      <c r="E29" s="184" t="s">
        <v>506</v>
      </c>
      <c r="F29" s="79">
        <v>0.12</v>
      </c>
      <c r="G29" s="187">
        <v>1000</v>
      </c>
      <c r="H29" s="188" t="s">
        <v>1399</v>
      </c>
      <c r="I29" s="184"/>
    </row>
    <row r="30" spans="1:9" ht="15" customHeight="1" x14ac:dyDescent="0.25">
      <c r="A30" s="116" t="s">
        <v>1457</v>
      </c>
      <c r="B30" s="184" t="s">
        <v>1458</v>
      </c>
      <c r="C30" s="184" t="s">
        <v>195</v>
      </c>
      <c r="D30" s="184" t="s">
        <v>1459</v>
      </c>
      <c r="E30" s="184" t="s">
        <v>502</v>
      </c>
      <c r="F30" s="79">
        <v>8.5</v>
      </c>
      <c r="G30" s="187">
        <v>30</v>
      </c>
      <c r="H30" s="188" t="s">
        <v>1399</v>
      </c>
      <c r="I30" s="184"/>
    </row>
    <row r="31" spans="1:9" ht="15" customHeight="1" x14ac:dyDescent="0.25">
      <c r="A31" s="116" t="s">
        <v>1460</v>
      </c>
      <c r="B31" s="184" t="s">
        <v>1461</v>
      </c>
      <c r="C31" s="184" t="s">
        <v>195</v>
      </c>
      <c r="D31" s="184" t="s">
        <v>1462</v>
      </c>
      <c r="E31" s="184" t="s">
        <v>1463</v>
      </c>
      <c r="F31" s="79">
        <v>24</v>
      </c>
      <c r="G31" s="187">
        <v>40</v>
      </c>
      <c r="H31" s="188" t="s">
        <v>1399</v>
      </c>
      <c r="I31" s="184"/>
    </row>
    <row r="32" spans="1:9" ht="15" customHeight="1" x14ac:dyDescent="0.25">
      <c r="A32" s="116" t="s">
        <v>1464</v>
      </c>
      <c r="B32" s="184" t="s">
        <v>1465</v>
      </c>
      <c r="C32" s="184" t="s">
        <v>195</v>
      </c>
      <c r="D32" s="184" t="s">
        <v>1466</v>
      </c>
      <c r="E32" s="184" t="s">
        <v>506</v>
      </c>
      <c r="F32" s="79">
        <v>0.9</v>
      </c>
      <c r="G32" s="187">
        <v>500</v>
      </c>
      <c r="H32" s="188" t="s">
        <v>1399</v>
      </c>
      <c r="I32" s="18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I1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595959"/>
  </sheetPr>
  <dimension ref="A1:I25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32" customWidth="1"/>
    <col min="3" max="3" width="16" customWidth="1"/>
    <col min="4" max="4" width="22" customWidth="1"/>
    <col min="5" max="5" width="10" customWidth="1"/>
    <col min="6" max="6" width="16" customWidth="1"/>
    <col min="7" max="7" width="12" customWidth="1"/>
    <col min="8" max="8" width="14" customWidth="1"/>
    <col min="9" max="9" width="30" customWidth="1"/>
  </cols>
  <sheetData>
    <row r="1" spans="1:9" ht="30" customHeight="1" x14ac:dyDescent="0.25">
      <c r="A1" s="71" t="s">
        <v>1467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 x14ac:dyDescent="0.25">
      <c r="A2" s="63" t="s">
        <v>1394</v>
      </c>
      <c r="B2" s="63" t="s">
        <v>801</v>
      </c>
      <c r="C2" s="63" t="s">
        <v>334</v>
      </c>
      <c r="D2" s="63" t="s">
        <v>1056</v>
      </c>
      <c r="E2" s="63" t="s">
        <v>491</v>
      </c>
      <c r="F2" s="63" t="s">
        <v>1395</v>
      </c>
      <c r="G2" s="63" t="s">
        <v>1396</v>
      </c>
      <c r="H2" s="63" t="s">
        <v>1397</v>
      </c>
      <c r="I2" s="63" t="s">
        <v>226</v>
      </c>
    </row>
    <row r="3" spans="1:9" ht="15" customHeight="1" x14ac:dyDescent="0.25">
      <c r="A3" s="116" t="s">
        <v>1468</v>
      </c>
      <c r="B3" s="184" t="s">
        <v>1469</v>
      </c>
      <c r="C3" s="184" t="s">
        <v>1470</v>
      </c>
      <c r="D3" s="184" t="s">
        <v>1065</v>
      </c>
      <c r="E3" s="184" t="s">
        <v>506</v>
      </c>
      <c r="F3" s="79">
        <v>3.8</v>
      </c>
      <c r="G3" s="187">
        <v>800</v>
      </c>
      <c r="H3" s="188" t="s">
        <v>1399</v>
      </c>
      <c r="I3" s="184"/>
    </row>
    <row r="4" spans="1:9" ht="15" customHeight="1" x14ac:dyDescent="0.25">
      <c r="A4" s="116" t="s">
        <v>1066</v>
      </c>
      <c r="B4" s="184" t="s">
        <v>1471</v>
      </c>
      <c r="C4" s="184" t="s">
        <v>1470</v>
      </c>
      <c r="D4" s="184" t="s">
        <v>1065</v>
      </c>
      <c r="E4" s="184" t="s">
        <v>506</v>
      </c>
      <c r="F4" s="79">
        <v>4.9000000000000004</v>
      </c>
      <c r="G4" s="187">
        <v>600</v>
      </c>
      <c r="H4" s="188" t="s">
        <v>1399</v>
      </c>
      <c r="I4" s="184"/>
    </row>
    <row r="5" spans="1:9" ht="15" customHeight="1" x14ac:dyDescent="0.25">
      <c r="A5" s="116" t="s">
        <v>1472</v>
      </c>
      <c r="B5" s="184" t="s">
        <v>1473</v>
      </c>
      <c r="C5" s="184" t="s">
        <v>1470</v>
      </c>
      <c r="D5" s="184" t="s">
        <v>1065</v>
      </c>
      <c r="E5" s="184" t="s">
        <v>506</v>
      </c>
      <c r="F5" s="79">
        <v>6.8</v>
      </c>
      <c r="G5" s="187">
        <v>120</v>
      </c>
      <c r="H5" s="188" t="s">
        <v>1399</v>
      </c>
      <c r="I5" s="184"/>
    </row>
    <row r="6" spans="1:9" ht="15" customHeight="1" x14ac:dyDescent="0.25">
      <c r="A6" s="116" t="s">
        <v>1474</v>
      </c>
      <c r="B6" s="184" t="s">
        <v>1475</v>
      </c>
      <c r="C6" s="184" t="s">
        <v>1476</v>
      </c>
      <c r="D6" s="184" t="s">
        <v>1065</v>
      </c>
      <c r="E6" s="184" t="s">
        <v>508</v>
      </c>
      <c r="F6" s="79">
        <v>38</v>
      </c>
      <c r="G6" s="187">
        <v>60</v>
      </c>
      <c r="H6" s="188" t="s">
        <v>1399</v>
      </c>
      <c r="I6" s="184"/>
    </row>
    <row r="7" spans="1:9" ht="15" customHeight="1" x14ac:dyDescent="0.25">
      <c r="A7" s="116" t="s">
        <v>1068</v>
      </c>
      <c r="B7" s="184" t="s">
        <v>1477</v>
      </c>
      <c r="C7" s="184" t="s">
        <v>1476</v>
      </c>
      <c r="D7" s="184" t="s">
        <v>1065</v>
      </c>
      <c r="E7" s="184" t="s">
        <v>508</v>
      </c>
      <c r="F7" s="79">
        <v>44</v>
      </c>
      <c r="G7" s="187">
        <v>80</v>
      </c>
      <c r="H7" s="188" t="s">
        <v>1399</v>
      </c>
      <c r="I7" s="184"/>
    </row>
    <row r="8" spans="1:9" ht="15" customHeight="1" x14ac:dyDescent="0.25">
      <c r="A8" s="116" t="s">
        <v>1478</v>
      </c>
      <c r="B8" s="184" t="s">
        <v>1479</v>
      </c>
      <c r="C8" s="184" t="s">
        <v>1476</v>
      </c>
      <c r="D8" s="184" t="s">
        <v>1065</v>
      </c>
      <c r="E8" s="184" t="s">
        <v>508</v>
      </c>
      <c r="F8" s="79">
        <v>62</v>
      </c>
      <c r="G8" s="187">
        <v>40</v>
      </c>
      <c r="H8" s="188" t="s">
        <v>1399</v>
      </c>
      <c r="I8" s="184" t="s">
        <v>1480</v>
      </c>
    </row>
    <row r="9" spans="1:9" ht="15" customHeight="1" x14ac:dyDescent="0.25">
      <c r="A9" s="116" t="s">
        <v>1481</v>
      </c>
      <c r="B9" s="184" t="s">
        <v>1482</v>
      </c>
      <c r="C9" s="184" t="s">
        <v>1483</v>
      </c>
      <c r="D9" s="184" t="s">
        <v>1065</v>
      </c>
      <c r="E9" s="184" t="s">
        <v>508</v>
      </c>
      <c r="F9" s="79">
        <v>58</v>
      </c>
      <c r="G9" s="187">
        <v>30</v>
      </c>
      <c r="H9" s="188" t="s">
        <v>1399</v>
      </c>
      <c r="I9" s="184"/>
    </row>
    <row r="10" spans="1:9" ht="15" customHeight="1" x14ac:dyDescent="0.25">
      <c r="A10" s="116" t="s">
        <v>1484</v>
      </c>
      <c r="B10" s="184" t="s">
        <v>1485</v>
      </c>
      <c r="C10" s="184" t="s">
        <v>1483</v>
      </c>
      <c r="D10" s="184" t="s">
        <v>1065</v>
      </c>
      <c r="E10" s="184" t="s">
        <v>508</v>
      </c>
      <c r="F10" s="79">
        <v>95</v>
      </c>
      <c r="G10" s="187">
        <v>15</v>
      </c>
      <c r="H10" s="188" t="s">
        <v>1399</v>
      </c>
      <c r="I10" s="184"/>
    </row>
    <row r="11" spans="1:9" ht="15" customHeight="1" x14ac:dyDescent="0.25">
      <c r="A11" s="116" t="s">
        <v>1081</v>
      </c>
      <c r="B11" s="184" t="s">
        <v>509</v>
      </c>
      <c r="C11" s="184" t="s">
        <v>1486</v>
      </c>
      <c r="D11" s="184" t="s">
        <v>1071</v>
      </c>
      <c r="E11" s="184" t="s">
        <v>506</v>
      </c>
      <c r="F11" s="79">
        <v>3.2</v>
      </c>
      <c r="G11" s="187">
        <v>400</v>
      </c>
      <c r="H11" s="188" t="s">
        <v>1399</v>
      </c>
      <c r="I11" s="184"/>
    </row>
    <row r="12" spans="1:9" ht="15" customHeight="1" x14ac:dyDescent="0.25">
      <c r="A12" s="116" t="s">
        <v>1487</v>
      </c>
      <c r="B12" s="184" t="s">
        <v>1488</v>
      </c>
      <c r="C12" s="184" t="s">
        <v>1486</v>
      </c>
      <c r="D12" s="184" t="s">
        <v>1071</v>
      </c>
      <c r="E12" s="184" t="s">
        <v>506</v>
      </c>
      <c r="F12" s="79">
        <v>4.5</v>
      </c>
      <c r="G12" s="187">
        <v>300</v>
      </c>
      <c r="H12" s="188" t="s">
        <v>1399</v>
      </c>
      <c r="I12" s="184"/>
    </row>
    <row r="13" spans="1:9" ht="15" customHeight="1" x14ac:dyDescent="0.25">
      <c r="A13" s="116" t="s">
        <v>1489</v>
      </c>
      <c r="B13" s="184" t="s">
        <v>1490</v>
      </c>
      <c r="C13" s="184" t="s">
        <v>1486</v>
      </c>
      <c r="D13" s="184" t="s">
        <v>1071</v>
      </c>
      <c r="E13" s="184" t="s">
        <v>504</v>
      </c>
      <c r="F13" s="79">
        <v>9.8000000000000007</v>
      </c>
      <c r="G13" s="187">
        <v>120</v>
      </c>
      <c r="H13" s="188" t="s">
        <v>1399</v>
      </c>
      <c r="I13" s="184"/>
    </row>
    <row r="14" spans="1:9" ht="15" customHeight="1" x14ac:dyDescent="0.25">
      <c r="A14" s="116" t="s">
        <v>1491</v>
      </c>
      <c r="B14" s="184" t="s">
        <v>1492</v>
      </c>
      <c r="C14" s="184" t="s">
        <v>1493</v>
      </c>
      <c r="D14" s="184" t="s">
        <v>1071</v>
      </c>
      <c r="E14" s="184" t="s">
        <v>506</v>
      </c>
      <c r="F14" s="79">
        <v>0.4</v>
      </c>
      <c r="G14" s="187">
        <v>1000</v>
      </c>
      <c r="H14" s="188" t="s">
        <v>1399</v>
      </c>
      <c r="I14" s="184"/>
    </row>
    <row r="15" spans="1:9" ht="15" customHeight="1" x14ac:dyDescent="0.25">
      <c r="A15" s="116" t="s">
        <v>1494</v>
      </c>
      <c r="B15" s="184" t="s">
        <v>1495</v>
      </c>
      <c r="C15" s="184" t="s">
        <v>1493</v>
      </c>
      <c r="D15" s="184" t="s">
        <v>1071</v>
      </c>
      <c r="E15" s="184" t="s">
        <v>506</v>
      </c>
      <c r="F15" s="79">
        <v>0.05</v>
      </c>
      <c r="G15" s="187">
        <v>5000</v>
      </c>
      <c r="H15" s="188" t="s">
        <v>1399</v>
      </c>
      <c r="I15" s="184"/>
    </row>
    <row r="16" spans="1:9" ht="15" customHeight="1" x14ac:dyDescent="0.25">
      <c r="A16" s="116" t="s">
        <v>1496</v>
      </c>
      <c r="B16" s="184" t="s">
        <v>1497</v>
      </c>
      <c r="C16" s="184" t="s">
        <v>1493</v>
      </c>
      <c r="D16" s="184" t="s">
        <v>1462</v>
      </c>
      <c r="E16" s="184" t="s">
        <v>506</v>
      </c>
      <c r="F16" s="79">
        <v>0.18</v>
      </c>
      <c r="G16" s="187">
        <v>2000</v>
      </c>
      <c r="H16" s="188" t="s">
        <v>1399</v>
      </c>
      <c r="I16" s="184"/>
    </row>
    <row r="17" spans="1:9" ht="15" customHeight="1" x14ac:dyDescent="0.25">
      <c r="A17" s="116" t="s">
        <v>1072</v>
      </c>
      <c r="B17" s="184" t="s">
        <v>1498</v>
      </c>
      <c r="C17" s="184" t="s">
        <v>1499</v>
      </c>
      <c r="D17" s="184" t="s">
        <v>1071</v>
      </c>
      <c r="E17" s="184" t="s">
        <v>504</v>
      </c>
      <c r="F17" s="79">
        <v>6.5</v>
      </c>
      <c r="G17" s="187">
        <v>80</v>
      </c>
      <c r="H17" s="188" t="s">
        <v>1399</v>
      </c>
      <c r="I17" s="184"/>
    </row>
    <row r="18" spans="1:9" ht="15" customHeight="1" x14ac:dyDescent="0.25">
      <c r="A18" s="116" t="s">
        <v>1500</v>
      </c>
      <c r="B18" s="184" t="s">
        <v>1501</v>
      </c>
      <c r="C18" s="184" t="s">
        <v>1499</v>
      </c>
      <c r="D18" s="184" t="s">
        <v>1071</v>
      </c>
      <c r="E18" s="184" t="s">
        <v>506</v>
      </c>
      <c r="F18" s="79">
        <v>42</v>
      </c>
      <c r="G18" s="187">
        <v>20</v>
      </c>
      <c r="H18" s="188" t="s">
        <v>1399</v>
      </c>
      <c r="I18" s="184"/>
    </row>
    <row r="19" spans="1:9" ht="15" customHeight="1" x14ac:dyDescent="0.25">
      <c r="A19" s="116" t="s">
        <v>1502</v>
      </c>
      <c r="B19" s="184" t="s">
        <v>1503</v>
      </c>
      <c r="C19" s="184" t="s">
        <v>1499</v>
      </c>
      <c r="D19" s="184" t="s">
        <v>1071</v>
      </c>
      <c r="E19" s="184" t="s">
        <v>506</v>
      </c>
      <c r="F19" s="79">
        <v>28</v>
      </c>
      <c r="G19" s="187">
        <v>15</v>
      </c>
      <c r="H19" s="188" t="s">
        <v>1399</v>
      </c>
      <c r="I19" s="184"/>
    </row>
    <row r="20" spans="1:9" ht="15" customHeight="1" x14ac:dyDescent="0.25">
      <c r="A20" s="116" t="s">
        <v>1504</v>
      </c>
      <c r="B20" s="184" t="s">
        <v>1505</v>
      </c>
      <c r="C20" s="184" t="s">
        <v>1506</v>
      </c>
      <c r="D20" s="184" t="s">
        <v>1071</v>
      </c>
      <c r="E20" s="184" t="s">
        <v>511</v>
      </c>
      <c r="F20" s="79">
        <v>22</v>
      </c>
      <c r="G20" s="187">
        <v>40</v>
      </c>
      <c r="H20" s="188" t="s">
        <v>1399</v>
      </c>
      <c r="I20" s="184"/>
    </row>
    <row r="21" spans="1:9" ht="15" customHeight="1" x14ac:dyDescent="0.25">
      <c r="A21" s="116" t="s">
        <v>1507</v>
      </c>
      <c r="B21" s="184" t="s">
        <v>1508</v>
      </c>
      <c r="C21" s="184" t="s">
        <v>1506</v>
      </c>
      <c r="D21" s="184" t="s">
        <v>1071</v>
      </c>
      <c r="E21" s="184" t="s">
        <v>506</v>
      </c>
      <c r="F21" s="79">
        <v>18</v>
      </c>
      <c r="G21" s="187">
        <v>30</v>
      </c>
      <c r="H21" s="188" t="s">
        <v>1399</v>
      </c>
      <c r="I21" s="184"/>
    </row>
    <row r="22" spans="1:9" ht="15" customHeight="1" x14ac:dyDescent="0.25">
      <c r="A22" s="116" t="s">
        <v>1509</v>
      </c>
      <c r="B22" s="184" t="s">
        <v>1510</v>
      </c>
      <c r="C22" s="184" t="s">
        <v>1506</v>
      </c>
      <c r="D22" s="184" t="s">
        <v>1071</v>
      </c>
      <c r="E22" s="184" t="s">
        <v>504</v>
      </c>
      <c r="F22" s="79">
        <v>7.5</v>
      </c>
      <c r="G22" s="187">
        <v>100</v>
      </c>
      <c r="H22" s="188" t="s">
        <v>1399</v>
      </c>
      <c r="I22" s="184"/>
    </row>
    <row r="23" spans="1:9" ht="15" customHeight="1" x14ac:dyDescent="0.25">
      <c r="A23" s="116" t="s">
        <v>1511</v>
      </c>
      <c r="B23" s="184" t="s">
        <v>1512</v>
      </c>
      <c r="C23" s="184" t="s">
        <v>1513</v>
      </c>
      <c r="D23" s="184" t="s">
        <v>1071</v>
      </c>
      <c r="E23" s="184" t="s">
        <v>508</v>
      </c>
      <c r="F23" s="79">
        <v>120</v>
      </c>
      <c r="G23" s="187">
        <v>8</v>
      </c>
      <c r="H23" s="188" t="s">
        <v>1399</v>
      </c>
      <c r="I23" s="184" t="s">
        <v>1514</v>
      </c>
    </row>
    <row r="24" spans="1:9" ht="15" customHeight="1" x14ac:dyDescent="0.25">
      <c r="A24" s="116" t="s">
        <v>1515</v>
      </c>
      <c r="B24" s="184" t="s">
        <v>1516</v>
      </c>
      <c r="C24" s="184" t="s">
        <v>1513</v>
      </c>
      <c r="D24" s="184" t="s">
        <v>1071</v>
      </c>
      <c r="E24" s="184" t="s">
        <v>508</v>
      </c>
      <c r="F24" s="79">
        <v>95</v>
      </c>
      <c r="G24" s="187">
        <v>10</v>
      </c>
      <c r="H24" s="188" t="s">
        <v>1399</v>
      </c>
      <c r="I24" s="184"/>
    </row>
    <row r="25" spans="1:9" ht="15" customHeight="1" x14ac:dyDescent="0.25">
      <c r="A25" s="116" t="s">
        <v>1517</v>
      </c>
      <c r="B25" s="184" t="s">
        <v>1518</v>
      </c>
      <c r="C25" s="184" t="s">
        <v>1513</v>
      </c>
      <c r="D25" s="184" t="s">
        <v>1071</v>
      </c>
      <c r="E25" s="184" t="s">
        <v>506</v>
      </c>
      <c r="F25" s="79">
        <v>2.8</v>
      </c>
      <c r="G25" s="187">
        <v>300</v>
      </c>
      <c r="H25" s="188" t="s">
        <v>1399</v>
      </c>
      <c r="I25" s="18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I1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595959"/>
  </sheetPr>
  <dimension ref="A1:H9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8" customWidth="1"/>
    <col min="2" max="2" width="22" customWidth="1"/>
    <col min="3" max="5" width="14" customWidth="1"/>
    <col min="6" max="6" width="16" customWidth="1"/>
    <col min="7" max="8" width="14" customWidth="1"/>
  </cols>
  <sheetData>
    <row r="1" spans="1:8" ht="30" customHeight="1" x14ac:dyDescent="0.25">
      <c r="A1" s="71" t="s">
        <v>1519</v>
      </c>
      <c r="B1" s="71"/>
      <c r="C1" s="71"/>
      <c r="D1" s="71"/>
      <c r="E1" s="71"/>
      <c r="F1" s="71"/>
      <c r="G1" s="71"/>
      <c r="H1" s="71"/>
    </row>
    <row r="2" spans="1:8" ht="27.75" customHeight="1" x14ac:dyDescent="0.25">
      <c r="A2" s="63" t="s">
        <v>334</v>
      </c>
      <c r="B2" s="63" t="s">
        <v>1520</v>
      </c>
      <c r="C2" s="63" t="s">
        <v>491</v>
      </c>
      <c r="D2" s="63" t="s">
        <v>1521</v>
      </c>
      <c r="E2" s="63" t="s">
        <v>1522</v>
      </c>
      <c r="F2" s="63" t="s">
        <v>1523</v>
      </c>
      <c r="G2" s="63" t="s">
        <v>1524</v>
      </c>
      <c r="H2" s="63" t="s">
        <v>1525</v>
      </c>
    </row>
    <row r="3" spans="1:8" ht="15" customHeight="1" x14ac:dyDescent="0.25">
      <c r="A3" s="92" t="s">
        <v>243</v>
      </c>
      <c r="B3" s="100">
        <v>280</v>
      </c>
      <c r="C3" s="189" t="s">
        <v>1526</v>
      </c>
      <c r="D3" s="78">
        <v>1</v>
      </c>
      <c r="E3" s="78">
        <v>1.1000000000000001</v>
      </c>
      <c r="F3" s="190">
        <f>Factor_Doors</f>
        <v>1.1000000000000001</v>
      </c>
      <c r="G3" s="118">
        <f t="shared" ref="G3:G9" si="0">Markup_Pct</f>
        <v>0.35</v>
      </c>
      <c r="H3" s="118">
        <f t="shared" ref="H3:H9" si="1">Max_Discount_Pct</f>
        <v>0.1</v>
      </c>
    </row>
    <row r="4" spans="1:8" ht="15" customHeight="1" x14ac:dyDescent="0.25">
      <c r="A4" s="92" t="s">
        <v>37</v>
      </c>
      <c r="B4" s="100">
        <v>850</v>
      </c>
      <c r="C4" s="189" t="s">
        <v>1527</v>
      </c>
      <c r="D4" s="78">
        <v>1.2</v>
      </c>
      <c r="E4" s="78">
        <v>1.1499999999999999</v>
      </c>
      <c r="F4" s="190">
        <f>Factor_Kitchens</f>
        <v>1.25</v>
      </c>
      <c r="G4" s="118">
        <f t="shared" si="0"/>
        <v>0.35</v>
      </c>
      <c r="H4" s="118">
        <f t="shared" si="1"/>
        <v>0.1</v>
      </c>
    </row>
    <row r="5" spans="1:8" ht="15" customHeight="1" x14ac:dyDescent="0.25">
      <c r="A5" s="92" t="s">
        <v>237</v>
      </c>
      <c r="B5" s="100">
        <v>420</v>
      </c>
      <c r="C5" s="189" t="s">
        <v>1528</v>
      </c>
      <c r="D5" s="78">
        <v>1.1000000000000001</v>
      </c>
      <c r="E5" s="78">
        <v>1.1000000000000001</v>
      </c>
      <c r="F5" s="190">
        <f>Factor_Wardrobes</f>
        <v>1.2</v>
      </c>
      <c r="G5" s="118">
        <f t="shared" si="0"/>
        <v>0.35</v>
      </c>
      <c r="H5" s="118">
        <f t="shared" si="1"/>
        <v>0.1</v>
      </c>
    </row>
    <row r="6" spans="1:8" ht="15" customHeight="1" x14ac:dyDescent="0.25">
      <c r="A6" s="92" t="s">
        <v>259</v>
      </c>
      <c r="B6" s="100">
        <v>180</v>
      </c>
      <c r="C6" s="189" t="s">
        <v>1528</v>
      </c>
      <c r="D6" s="78">
        <v>1</v>
      </c>
      <c r="E6" s="78">
        <v>1</v>
      </c>
      <c r="F6" s="190">
        <f>Factor_WallPanels</f>
        <v>1.05</v>
      </c>
      <c r="G6" s="118">
        <f t="shared" si="0"/>
        <v>0.35</v>
      </c>
      <c r="H6" s="118">
        <f t="shared" si="1"/>
        <v>0.1</v>
      </c>
    </row>
    <row r="7" spans="1:8" ht="15" customHeight="1" x14ac:dyDescent="0.25">
      <c r="A7" s="92" t="s">
        <v>366</v>
      </c>
      <c r="B7" s="100">
        <v>160</v>
      </c>
      <c r="C7" s="189" t="s">
        <v>1528</v>
      </c>
      <c r="D7" s="78">
        <v>1</v>
      </c>
      <c r="E7" s="78">
        <v>1</v>
      </c>
      <c r="F7" s="190">
        <f>Factor_CeilingPanels</f>
        <v>1.05</v>
      </c>
      <c r="G7" s="118">
        <f t="shared" si="0"/>
        <v>0.35</v>
      </c>
      <c r="H7" s="118">
        <f t="shared" si="1"/>
        <v>0.1</v>
      </c>
    </row>
    <row r="8" spans="1:8" ht="15" customHeight="1" x14ac:dyDescent="0.25">
      <c r="A8" s="92" t="s">
        <v>249</v>
      </c>
      <c r="B8" s="100">
        <v>600</v>
      </c>
      <c r="C8" s="189" t="s">
        <v>1526</v>
      </c>
      <c r="D8" s="78">
        <v>1.3</v>
      </c>
      <c r="E8" s="78">
        <v>1.2</v>
      </c>
      <c r="F8" s="190">
        <f>Factor_Furniture</f>
        <v>1.3</v>
      </c>
      <c r="G8" s="118">
        <f t="shared" si="0"/>
        <v>0.35</v>
      </c>
      <c r="H8" s="118">
        <f t="shared" si="1"/>
        <v>0.1</v>
      </c>
    </row>
    <row r="9" spans="1:8" ht="15" customHeight="1" x14ac:dyDescent="0.25">
      <c r="A9" s="92" t="s">
        <v>51</v>
      </c>
      <c r="B9" s="100">
        <v>350</v>
      </c>
      <c r="C9" s="189" t="s">
        <v>1526</v>
      </c>
      <c r="D9" s="78">
        <v>1.1000000000000001</v>
      </c>
      <c r="E9" s="78">
        <v>1.1000000000000001</v>
      </c>
      <c r="F9" s="190">
        <f>Factor_Cabinets</f>
        <v>1.1499999999999999</v>
      </c>
      <c r="G9" s="118">
        <f t="shared" si="0"/>
        <v>0.35</v>
      </c>
      <c r="H9" s="118">
        <f t="shared" si="1"/>
        <v>0.1</v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H1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595959"/>
  </sheetPr>
  <dimension ref="A1:J2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2" width="14" customWidth="1"/>
    <col min="3" max="3" width="28" customWidth="1"/>
    <col min="4" max="4" width="12" customWidth="1"/>
    <col min="5" max="6" width="14" customWidth="1"/>
    <col min="7" max="7" width="12" customWidth="1"/>
    <col min="8" max="8" width="16" customWidth="1"/>
    <col min="9" max="9" width="18" customWidth="1"/>
    <col min="10" max="10" width="24" customWidth="1"/>
  </cols>
  <sheetData>
    <row r="1" spans="1:10" ht="17.25" customHeight="1" x14ac:dyDescent="0.25">
      <c r="A1" s="60" t="s">
        <v>1529</v>
      </c>
      <c r="B1" s="61"/>
      <c r="C1" s="61"/>
      <c r="D1" s="61"/>
      <c r="E1" s="61"/>
      <c r="F1" s="133" t="s">
        <v>1530</v>
      </c>
      <c r="G1" s="62" t="s">
        <v>1531</v>
      </c>
      <c r="H1" s="175">
        <f>COUNTA(B3:B202)</f>
        <v>8</v>
      </c>
      <c r="I1" s="61"/>
      <c r="J1" s="61"/>
    </row>
    <row r="2" spans="1:10" ht="27.75" customHeight="1" x14ac:dyDescent="0.25">
      <c r="A2" s="63" t="s">
        <v>1532</v>
      </c>
      <c r="B2" s="63" t="s">
        <v>1533</v>
      </c>
      <c r="C2" s="63" t="s">
        <v>1292</v>
      </c>
      <c r="D2" s="63" t="s">
        <v>21</v>
      </c>
      <c r="E2" s="63" t="s">
        <v>1534</v>
      </c>
      <c r="F2" s="63" t="s">
        <v>1535</v>
      </c>
      <c r="G2" s="63" t="s">
        <v>1536</v>
      </c>
      <c r="H2" s="63" t="s">
        <v>1299</v>
      </c>
      <c r="I2" s="63" t="s">
        <v>1537</v>
      </c>
      <c r="J2" s="63" t="s">
        <v>226</v>
      </c>
    </row>
    <row r="3" spans="1:10" ht="15" customHeight="1" x14ac:dyDescent="0.25">
      <c r="A3" s="65">
        <v>45823</v>
      </c>
      <c r="B3" s="134" t="s">
        <v>566</v>
      </c>
      <c r="C3" s="134" t="s">
        <v>1538</v>
      </c>
      <c r="D3" s="134" t="s">
        <v>1539</v>
      </c>
      <c r="E3" s="66">
        <v>11.8</v>
      </c>
      <c r="F3" s="66">
        <v>12.5</v>
      </c>
      <c r="G3" s="170">
        <f t="shared" ref="G3:G34" si="0">IFERROR(IF(OR(E3="",F3=""),"",(F3-E3)/E3),"")</f>
        <v>5.9322033898305024E-2</v>
      </c>
      <c r="H3" s="158" t="s">
        <v>1540</v>
      </c>
      <c r="I3" s="158" t="s">
        <v>1541</v>
      </c>
      <c r="J3" s="134"/>
    </row>
    <row r="4" spans="1:10" ht="15" customHeight="1" x14ac:dyDescent="0.25">
      <c r="A4" s="65">
        <v>45848</v>
      </c>
      <c r="B4" s="134" t="s">
        <v>646</v>
      </c>
      <c r="C4" s="134" t="s">
        <v>1542</v>
      </c>
      <c r="D4" s="134" t="s">
        <v>1539</v>
      </c>
      <c r="E4" s="66">
        <v>13.5</v>
      </c>
      <c r="F4" s="66">
        <v>14.2</v>
      </c>
      <c r="G4" s="170">
        <f t="shared" si="0"/>
        <v>5.1851851851851802E-2</v>
      </c>
      <c r="H4" s="158" t="s">
        <v>1540</v>
      </c>
      <c r="I4" s="158" t="s">
        <v>1543</v>
      </c>
      <c r="J4" s="134"/>
    </row>
    <row r="5" spans="1:10" ht="15" customHeight="1" x14ac:dyDescent="0.25">
      <c r="A5" s="65">
        <v>45901</v>
      </c>
      <c r="B5" s="134" t="s">
        <v>1544</v>
      </c>
      <c r="C5" s="134" t="s">
        <v>1545</v>
      </c>
      <c r="D5" s="134" t="s">
        <v>1546</v>
      </c>
      <c r="E5" s="66">
        <v>2.8</v>
      </c>
      <c r="F5" s="66">
        <v>3.1</v>
      </c>
      <c r="G5" s="170">
        <f t="shared" si="0"/>
        <v>0.10714285714285725</v>
      </c>
      <c r="H5" s="158" t="s">
        <v>1547</v>
      </c>
      <c r="I5" s="158" t="s">
        <v>1548</v>
      </c>
      <c r="J5" s="134"/>
    </row>
    <row r="6" spans="1:10" ht="15" customHeight="1" x14ac:dyDescent="0.25">
      <c r="A6" s="65">
        <v>45945</v>
      </c>
      <c r="B6" s="134" t="s">
        <v>1549</v>
      </c>
      <c r="C6" s="134" t="s">
        <v>1550</v>
      </c>
      <c r="D6" s="134" t="s">
        <v>1546</v>
      </c>
      <c r="E6" s="66">
        <v>4.2</v>
      </c>
      <c r="F6" s="66">
        <v>3.8</v>
      </c>
      <c r="G6" s="170">
        <f t="shared" si="0"/>
        <v>-9.5238095238095316E-2</v>
      </c>
      <c r="H6" s="158" t="s">
        <v>1551</v>
      </c>
      <c r="I6" s="158" t="s">
        <v>1552</v>
      </c>
      <c r="J6" s="134"/>
    </row>
    <row r="7" spans="1:10" ht="15" customHeight="1" x14ac:dyDescent="0.25">
      <c r="A7" s="65">
        <v>45981</v>
      </c>
      <c r="B7" s="134" t="s">
        <v>657</v>
      </c>
      <c r="C7" s="134" t="s">
        <v>1553</v>
      </c>
      <c r="D7" s="134" t="s">
        <v>1539</v>
      </c>
      <c r="E7" s="66">
        <v>16</v>
      </c>
      <c r="F7" s="66">
        <v>17.2</v>
      </c>
      <c r="G7" s="170">
        <f t="shared" si="0"/>
        <v>7.4999999999999956E-2</v>
      </c>
      <c r="H7" s="158" t="s">
        <v>1540</v>
      </c>
      <c r="I7" s="158" t="s">
        <v>1554</v>
      </c>
      <c r="J7" s="134"/>
    </row>
    <row r="8" spans="1:10" ht="15" customHeight="1" x14ac:dyDescent="0.25">
      <c r="A8" s="65">
        <v>46027</v>
      </c>
      <c r="B8" s="134" t="s">
        <v>1555</v>
      </c>
      <c r="C8" s="134" t="s">
        <v>1556</v>
      </c>
      <c r="D8" s="134" t="s">
        <v>1539</v>
      </c>
      <c r="E8" s="66">
        <v>38</v>
      </c>
      <c r="F8" s="66">
        <v>42</v>
      </c>
      <c r="G8" s="170">
        <f t="shared" si="0"/>
        <v>0.10526315789473684</v>
      </c>
      <c r="H8" s="158" t="s">
        <v>1547</v>
      </c>
      <c r="I8" s="158" t="s">
        <v>1557</v>
      </c>
      <c r="J8" s="134"/>
    </row>
    <row r="9" spans="1:10" ht="15" customHeight="1" x14ac:dyDescent="0.25">
      <c r="A9" s="65">
        <v>46063</v>
      </c>
      <c r="B9" s="134" t="s">
        <v>1558</v>
      </c>
      <c r="C9" s="134" t="s">
        <v>1311</v>
      </c>
      <c r="D9" s="134" t="s">
        <v>1546</v>
      </c>
      <c r="E9" s="66">
        <v>0.08</v>
      </c>
      <c r="F9" s="66">
        <v>0.09</v>
      </c>
      <c r="G9" s="170">
        <f t="shared" si="0"/>
        <v>0.12499999999999993</v>
      </c>
      <c r="H9" s="158" t="s">
        <v>1559</v>
      </c>
      <c r="I9" s="158" t="s">
        <v>1560</v>
      </c>
      <c r="J9" s="134"/>
    </row>
    <row r="10" spans="1:10" ht="15" customHeight="1" x14ac:dyDescent="0.25">
      <c r="A10" s="65">
        <v>46096</v>
      </c>
      <c r="B10" s="134" t="s">
        <v>566</v>
      </c>
      <c r="C10" s="134" t="s">
        <v>1538</v>
      </c>
      <c r="D10" s="134" t="s">
        <v>1539</v>
      </c>
      <c r="E10" s="66">
        <v>12.5</v>
      </c>
      <c r="F10" s="66">
        <v>12.2</v>
      </c>
      <c r="G10" s="170">
        <f t="shared" si="0"/>
        <v>-2.4000000000000056E-2</v>
      </c>
      <c r="H10" s="158" t="s">
        <v>1561</v>
      </c>
      <c r="I10" s="158" t="s">
        <v>1562</v>
      </c>
      <c r="J10" s="134"/>
    </row>
    <row r="11" spans="1:10" ht="15" customHeight="1" x14ac:dyDescent="0.25">
      <c r="A11" s="65"/>
      <c r="B11" s="134"/>
      <c r="C11" s="134"/>
      <c r="D11" s="134"/>
      <c r="E11" s="66"/>
      <c r="F11" s="66"/>
      <c r="G11" s="170" t="str">
        <f t="shared" si="0"/>
        <v/>
      </c>
      <c r="H11" s="158"/>
      <c r="I11" s="158"/>
      <c r="J11" s="134"/>
    </row>
    <row r="12" spans="1:10" ht="15" customHeight="1" x14ac:dyDescent="0.25">
      <c r="A12" s="65"/>
      <c r="B12" s="134"/>
      <c r="C12" s="134"/>
      <c r="D12" s="134"/>
      <c r="E12" s="66"/>
      <c r="F12" s="66"/>
      <c r="G12" s="170" t="str">
        <f t="shared" si="0"/>
        <v/>
      </c>
      <c r="H12" s="158"/>
      <c r="I12" s="158"/>
      <c r="J12" s="134"/>
    </row>
    <row r="13" spans="1:10" ht="15" customHeight="1" x14ac:dyDescent="0.25">
      <c r="A13" s="65"/>
      <c r="B13" s="134"/>
      <c r="C13" s="134"/>
      <c r="D13" s="134"/>
      <c r="E13" s="66"/>
      <c r="F13" s="66"/>
      <c r="G13" s="170" t="str">
        <f t="shared" si="0"/>
        <v/>
      </c>
      <c r="H13" s="158"/>
      <c r="I13" s="158"/>
      <c r="J13" s="134"/>
    </row>
    <row r="14" spans="1:10" ht="15" customHeight="1" x14ac:dyDescent="0.25">
      <c r="A14" s="65"/>
      <c r="B14" s="134"/>
      <c r="C14" s="134"/>
      <c r="D14" s="134"/>
      <c r="E14" s="66"/>
      <c r="F14" s="66"/>
      <c r="G14" s="170" t="str">
        <f t="shared" si="0"/>
        <v/>
      </c>
      <c r="H14" s="158"/>
      <c r="I14" s="158"/>
      <c r="J14" s="134"/>
    </row>
    <row r="15" spans="1:10" ht="15" customHeight="1" x14ac:dyDescent="0.25">
      <c r="A15" s="65"/>
      <c r="B15" s="134"/>
      <c r="C15" s="134"/>
      <c r="D15" s="134"/>
      <c r="E15" s="66"/>
      <c r="F15" s="66"/>
      <c r="G15" s="170" t="str">
        <f t="shared" si="0"/>
        <v/>
      </c>
      <c r="H15" s="158"/>
      <c r="I15" s="158"/>
      <c r="J15" s="134"/>
    </row>
    <row r="16" spans="1:10" ht="15" customHeight="1" x14ac:dyDescent="0.25">
      <c r="A16" s="65"/>
      <c r="B16" s="134"/>
      <c r="C16" s="134"/>
      <c r="D16" s="134"/>
      <c r="E16" s="66"/>
      <c r="F16" s="66"/>
      <c r="G16" s="170" t="str">
        <f t="shared" si="0"/>
        <v/>
      </c>
      <c r="H16" s="158"/>
      <c r="I16" s="158"/>
      <c r="J16" s="134"/>
    </row>
    <row r="17" spans="1:10" ht="15" customHeight="1" x14ac:dyDescent="0.25">
      <c r="A17" s="65"/>
      <c r="B17" s="134"/>
      <c r="C17" s="134"/>
      <c r="D17" s="134"/>
      <c r="E17" s="66"/>
      <c r="F17" s="66"/>
      <c r="G17" s="170" t="str">
        <f t="shared" si="0"/>
        <v/>
      </c>
      <c r="H17" s="158"/>
      <c r="I17" s="158"/>
      <c r="J17" s="134"/>
    </row>
    <row r="18" spans="1:10" ht="15" customHeight="1" x14ac:dyDescent="0.25">
      <c r="A18" s="65"/>
      <c r="B18" s="134"/>
      <c r="C18" s="134"/>
      <c r="D18" s="134"/>
      <c r="E18" s="66"/>
      <c r="F18" s="66"/>
      <c r="G18" s="170" t="str">
        <f t="shared" si="0"/>
        <v/>
      </c>
      <c r="H18" s="158"/>
      <c r="I18" s="158"/>
      <c r="J18" s="134"/>
    </row>
    <row r="19" spans="1:10" ht="15" customHeight="1" x14ac:dyDescent="0.25">
      <c r="A19" s="65"/>
      <c r="B19" s="134"/>
      <c r="C19" s="134"/>
      <c r="D19" s="134"/>
      <c r="E19" s="66"/>
      <c r="F19" s="66"/>
      <c r="G19" s="170" t="str">
        <f t="shared" si="0"/>
        <v/>
      </c>
      <c r="H19" s="158"/>
      <c r="I19" s="158"/>
      <c r="J19" s="134"/>
    </row>
    <row r="20" spans="1:10" ht="15" customHeight="1" x14ac:dyDescent="0.25">
      <c r="A20" s="65"/>
      <c r="B20" s="134"/>
      <c r="C20" s="134"/>
      <c r="D20" s="134"/>
      <c r="E20" s="66"/>
      <c r="F20" s="66"/>
      <c r="G20" s="170" t="str">
        <f t="shared" si="0"/>
        <v/>
      </c>
      <c r="H20" s="158"/>
      <c r="I20" s="158"/>
      <c r="J20" s="134"/>
    </row>
    <row r="21" spans="1:10" ht="15" customHeight="1" x14ac:dyDescent="0.25">
      <c r="A21" s="65"/>
      <c r="B21" s="134"/>
      <c r="C21" s="134"/>
      <c r="D21" s="134"/>
      <c r="E21" s="66"/>
      <c r="F21" s="66"/>
      <c r="G21" s="170" t="str">
        <f t="shared" si="0"/>
        <v/>
      </c>
      <c r="H21" s="158"/>
      <c r="I21" s="158"/>
      <c r="J21" s="134"/>
    </row>
    <row r="22" spans="1:10" ht="15" customHeight="1" x14ac:dyDescent="0.25">
      <c r="A22" s="65"/>
      <c r="B22" s="134"/>
      <c r="C22" s="134"/>
      <c r="D22" s="134"/>
      <c r="E22" s="66"/>
      <c r="F22" s="66"/>
      <c r="G22" s="170" t="str">
        <f t="shared" si="0"/>
        <v/>
      </c>
      <c r="H22" s="158"/>
      <c r="I22" s="158"/>
      <c r="J22" s="134"/>
    </row>
    <row r="23" spans="1:10" ht="15" customHeight="1" x14ac:dyDescent="0.25">
      <c r="A23" s="65"/>
      <c r="B23" s="134"/>
      <c r="C23" s="134"/>
      <c r="D23" s="134"/>
      <c r="E23" s="66"/>
      <c r="F23" s="66"/>
      <c r="G23" s="170" t="str">
        <f t="shared" si="0"/>
        <v/>
      </c>
      <c r="H23" s="158"/>
      <c r="I23" s="158"/>
      <c r="J23" s="134"/>
    </row>
    <row r="24" spans="1:10" ht="15" customHeight="1" x14ac:dyDescent="0.25">
      <c r="A24" s="65"/>
      <c r="B24" s="134"/>
      <c r="C24" s="134"/>
      <c r="D24" s="134"/>
      <c r="E24" s="66"/>
      <c r="F24" s="66"/>
      <c r="G24" s="170" t="str">
        <f t="shared" si="0"/>
        <v/>
      </c>
      <c r="H24" s="158"/>
      <c r="I24" s="158"/>
      <c r="J24" s="134"/>
    </row>
    <row r="25" spans="1:10" ht="15" customHeight="1" x14ac:dyDescent="0.25">
      <c r="A25" s="65"/>
      <c r="B25" s="134"/>
      <c r="C25" s="134"/>
      <c r="D25" s="134"/>
      <c r="E25" s="66"/>
      <c r="F25" s="66"/>
      <c r="G25" s="170" t="str">
        <f t="shared" si="0"/>
        <v/>
      </c>
      <c r="H25" s="158"/>
      <c r="I25" s="158"/>
      <c r="J25" s="134"/>
    </row>
    <row r="26" spans="1:10" ht="15" customHeight="1" x14ac:dyDescent="0.25">
      <c r="A26" s="65"/>
      <c r="B26" s="134"/>
      <c r="C26" s="134"/>
      <c r="D26" s="134"/>
      <c r="E26" s="66"/>
      <c r="F26" s="66"/>
      <c r="G26" s="170" t="str">
        <f t="shared" si="0"/>
        <v/>
      </c>
      <c r="H26" s="158"/>
      <c r="I26" s="158"/>
      <c r="J26" s="134"/>
    </row>
    <row r="27" spans="1:10" ht="15" customHeight="1" x14ac:dyDescent="0.25">
      <c r="A27" s="65"/>
      <c r="B27" s="134"/>
      <c r="C27" s="134"/>
      <c r="D27" s="134"/>
      <c r="E27" s="66"/>
      <c r="F27" s="66"/>
      <c r="G27" s="170" t="str">
        <f t="shared" si="0"/>
        <v/>
      </c>
      <c r="H27" s="158"/>
      <c r="I27" s="158"/>
      <c r="J27" s="134"/>
    </row>
    <row r="28" spans="1:10" ht="15" customHeight="1" x14ac:dyDescent="0.25">
      <c r="A28" s="65"/>
      <c r="B28" s="134"/>
      <c r="C28" s="134"/>
      <c r="D28" s="134"/>
      <c r="E28" s="66"/>
      <c r="F28" s="66"/>
      <c r="G28" s="170" t="str">
        <f t="shared" si="0"/>
        <v/>
      </c>
      <c r="H28" s="158"/>
      <c r="I28" s="158"/>
      <c r="J28" s="134"/>
    </row>
    <row r="29" spans="1:10" ht="15" customHeight="1" x14ac:dyDescent="0.25">
      <c r="A29" s="65"/>
      <c r="B29" s="134"/>
      <c r="C29" s="134"/>
      <c r="D29" s="134"/>
      <c r="E29" s="66"/>
      <c r="F29" s="66"/>
      <c r="G29" s="170" t="str">
        <f t="shared" si="0"/>
        <v/>
      </c>
      <c r="H29" s="158"/>
      <c r="I29" s="158"/>
      <c r="J29" s="134"/>
    </row>
    <row r="30" spans="1:10" ht="15" customHeight="1" x14ac:dyDescent="0.25">
      <c r="A30" s="65"/>
      <c r="B30" s="134"/>
      <c r="C30" s="134"/>
      <c r="D30" s="134"/>
      <c r="E30" s="66"/>
      <c r="F30" s="66"/>
      <c r="G30" s="170" t="str">
        <f t="shared" si="0"/>
        <v/>
      </c>
      <c r="H30" s="158"/>
      <c r="I30" s="158"/>
      <c r="J30" s="134"/>
    </row>
    <row r="31" spans="1:10" ht="15" customHeight="1" x14ac:dyDescent="0.25">
      <c r="A31" s="65"/>
      <c r="B31" s="134"/>
      <c r="C31" s="134"/>
      <c r="D31" s="134"/>
      <c r="E31" s="66"/>
      <c r="F31" s="66"/>
      <c r="G31" s="170" t="str">
        <f t="shared" si="0"/>
        <v/>
      </c>
      <c r="H31" s="158"/>
      <c r="I31" s="158"/>
      <c r="J31" s="134"/>
    </row>
    <row r="32" spans="1:10" ht="15" customHeight="1" x14ac:dyDescent="0.25">
      <c r="A32" s="65"/>
      <c r="B32" s="134"/>
      <c r="C32" s="134"/>
      <c r="D32" s="134"/>
      <c r="E32" s="66"/>
      <c r="F32" s="66"/>
      <c r="G32" s="170" t="str">
        <f t="shared" si="0"/>
        <v/>
      </c>
      <c r="H32" s="158"/>
      <c r="I32" s="158"/>
      <c r="J32" s="134"/>
    </row>
    <row r="33" spans="1:10" ht="15" customHeight="1" x14ac:dyDescent="0.25">
      <c r="A33" s="65"/>
      <c r="B33" s="134"/>
      <c r="C33" s="134"/>
      <c r="D33" s="134"/>
      <c r="E33" s="66"/>
      <c r="F33" s="66"/>
      <c r="G33" s="170" t="str">
        <f t="shared" si="0"/>
        <v/>
      </c>
      <c r="H33" s="158"/>
      <c r="I33" s="158"/>
      <c r="J33" s="134"/>
    </row>
    <row r="34" spans="1:10" ht="15" customHeight="1" x14ac:dyDescent="0.25">
      <c r="A34" s="65"/>
      <c r="B34" s="134"/>
      <c r="C34" s="134"/>
      <c r="D34" s="134"/>
      <c r="E34" s="66"/>
      <c r="F34" s="66"/>
      <c r="G34" s="170" t="str">
        <f t="shared" si="0"/>
        <v/>
      </c>
      <c r="H34" s="158"/>
      <c r="I34" s="158"/>
      <c r="J34" s="134"/>
    </row>
    <row r="35" spans="1:10" ht="15" customHeight="1" x14ac:dyDescent="0.25">
      <c r="A35" s="65"/>
      <c r="B35" s="134"/>
      <c r="C35" s="134"/>
      <c r="D35" s="134"/>
      <c r="E35" s="66"/>
      <c r="F35" s="66"/>
      <c r="G35" s="170" t="str">
        <f t="shared" ref="G35:G66" si="1">IFERROR(IF(OR(E35="",F35=""),"",(F35-E35)/E35),"")</f>
        <v/>
      </c>
      <c r="H35" s="158"/>
      <c r="I35" s="158"/>
      <c r="J35" s="134"/>
    </row>
    <row r="36" spans="1:10" ht="15" customHeight="1" x14ac:dyDescent="0.25">
      <c r="A36" s="65"/>
      <c r="B36" s="134"/>
      <c r="C36" s="134"/>
      <c r="D36" s="134"/>
      <c r="E36" s="66"/>
      <c r="F36" s="66"/>
      <c r="G36" s="170" t="str">
        <f t="shared" si="1"/>
        <v/>
      </c>
      <c r="H36" s="158"/>
      <c r="I36" s="158"/>
      <c r="J36" s="134"/>
    </row>
    <row r="37" spans="1:10" ht="15" customHeight="1" x14ac:dyDescent="0.25">
      <c r="A37" s="65"/>
      <c r="B37" s="134"/>
      <c r="C37" s="134"/>
      <c r="D37" s="134"/>
      <c r="E37" s="66"/>
      <c r="F37" s="66"/>
      <c r="G37" s="170" t="str">
        <f t="shared" si="1"/>
        <v/>
      </c>
      <c r="H37" s="158"/>
      <c r="I37" s="158"/>
      <c r="J37" s="134"/>
    </row>
    <row r="38" spans="1:10" ht="15" customHeight="1" x14ac:dyDescent="0.25">
      <c r="A38" s="65"/>
      <c r="B38" s="134"/>
      <c r="C38" s="134"/>
      <c r="D38" s="134"/>
      <c r="E38" s="66"/>
      <c r="F38" s="66"/>
      <c r="G38" s="170" t="str">
        <f t="shared" si="1"/>
        <v/>
      </c>
      <c r="H38" s="158"/>
      <c r="I38" s="158"/>
      <c r="J38" s="134"/>
    </row>
    <row r="39" spans="1:10" ht="15" customHeight="1" x14ac:dyDescent="0.25">
      <c r="A39" s="65"/>
      <c r="B39" s="134"/>
      <c r="C39" s="134"/>
      <c r="D39" s="134"/>
      <c r="E39" s="66"/>
      <c r="F39" s="66"/>
      <c r="G39" s="170" t="str">
        <f t="shared" si="1"/>
        <v/>
      </c>
      <c r="H39" s="158"/>
      <c r="I39" s="158"/>
      <c r="J39" s="134"/>
    </row>
    <row r="40" spans="1:10" ht="15" customHeight="1" x14ac:dyDescent="0.25">
      <c r="A40" s="65"/>
      <c r="B40" s="134"/>
      <c r="C40" s="134"/>
      <c r="D40" s="134"/>
      <c r="E40" s="66"/>
      <c r="F40" s="66"/>
      <c r="G40" s="170" t="str">
        <f t="shared" si="1"/>
        <v/>
      </c>
      <c r="H40" s="158"/>
      <c r="I40" s="158"/>
      <c r="J40" s="134"/>
    </row>
    <row r="41" spans="1:10" ht="15" customHeight="1" x14ac:dyDescent="0.25">
      <c r="A41" s="65"/>
      <c r="B41" s="134"/>
      <c r="C41" s="134"/>
      <c r="D41" s="134"/>
      <c r="E41" s="66"/>
      <c r="F41" s="66"/>
      <c r="G41" s="170" t="str">
        <f t="shared" si="1"/>
        <v/>
      </c>
      <c r="H41" s="158"/>
      <c r="I41" s="158"/>
      <c r="J41" s="134"/>
    </row>
    <row r="42" spans="1:10" ht="15" customHeight="1" x14ac:dyDescent="0.25">
      <c r="A42" s="65"/>
      <c r="B42" s="134"/>
      <c r="C42" s="134"/>
      <c r="D42" s="134"/>
      <c r="E42" s="66"/>
      <c r="F42" s="66"/>
      <c r="G42" s="170" t="str">
        <f t="shared" si="1"/>
        <v/>
      </c>
      <c r="H42" s="158"/>
      <c r="I42" s="158"/>
      <c r="J42" s="134"/>
    </row>
    <row r="43" spans="1:10" ht="15" customHeight="1" x14ac:dyDescent="0.25">
      <c r="A43" s="65"/>
      <c r="B43" s="134"/>
      <c r="C43" s="134"/>
      <c r="D43" s="134"/>
      <c r="E43" s="66"/>
      <c r="F43" s="66"/>
      <c r="G43" s="170" t="str">
        <f t="shared" si="1"/>
        <v/>
      </c>
      <c r="H43" s="158"/>
      <c r="I43" s="158"/>
      <c r="J43" s="134"/>
    </row>
    <row r="44" spans="1:10" ht="15" customHeight="1" x14ac:dyDescent="0.25">
      <c r="A44" s="65"/>
      <c r="B44" s="134"/>
      <c r="C44" s="134"/>
      <c r="D44" s="134"/>
      <c r="E44" s="66"/>
      <c r="F44" s="66"/>
      <c r="G44" s="170" t="str">
        <f t="shared" si="1"/>
        <v/>
      </c>
      <c r="H44" s="158"/>
      <c r="I44" s="158"/>
      <c r="J44" s="134"/>
    </row>
    <row r="45" spans="1:10" ht="15" customHeight="1" x14ac:dyDescent="0.25">
      <c r="A45" s="65"/>
      <c r="B45" s="134"/>
      <c r="C45" s="134"/>
      <c r="D45" s="134"/>
      <c r="E45" s="66"/>
      <c r="F45" s="66"/>
      <c r="G45" s="170" t="str">
        <f t="shared" si="1"/>
        <v/>
      </c>
      <c r="H45" s="158"/>
      <c r="I45" s="158"/>
      <c r="J45" s="134"/>
    </row>
    <row r="46" spans="1:10" ht="15" customHeight="1" x14ac:dyDescent="0.25">
      <c r="A46" s="65"/>
      <c r="B46" s="134"/>
      <c r="C46" s="134"/>
      <c r="D46" s="134"/>
      <c r="E46" s="66"/>
      <c r="F46" s="66"/>
      <c r="G46" s="170" t="str">
        <f t="shared" si="1"/>
        <v/>
      </c>
      <c r="H46" s="158"/>
      <c r="I46" s="158"/>
      <c r="J46" s="134"/>
    </row>
    <row r="47" spans="1:10" ht="15" customHeight="1" x14ac:dyDescent="0.25">
      <c r="A47" s="65"/>
      <c r="B47" s="134"/>
      <c r="C47" s="134"/>
      <c r="D47" s="134"/>
      <c r="E47" s="66"/>
      <c r="F47" s="66"/>
      <c r="G47" s="170" t="str">
        <f t="shared" si="1"/>
        <v/>
      </c>
      <c r="H47" s="158"/>
      <c r="I47" s="158"/>
      <c r="J47" s="134"/>
    </row>
    <row r="48" spans="1:10" ht="15" customHeight="1" x14ac:dyDescent="0.25">
      <c r="A48" s="65"/>
      <c r="B48" s="134"/>
      <c r="C48" s="134"/>
      <c r="D48" s="134"/>
      <c r="E48" s="66"/>
      <c r="F48" s="66"/>
      <c r="G48" s="170" t="str">
        <f t="shared" si="1"/>
        <v/>
      </c>
      <c r="H48" s="158"/>
      <c r="I48" s="158"/>
      <c r="J48" s="134"/>
    </row>
    <row r="49" spans="1:10" ht="15" customHeight="1" x14ac:dyDescent="0.25">
      <c r="A49" s="65"/>
      <c r="B49" s="134"/>
      <c r="C49" s="134"/>
      <c r="D49" s="134"/>
      <c r="E49" s="66"/>
      <c r="F49" s="66"/>
      <c r="G49" s="170" t="str">
        <f t="shared" si="1"/>
        <v/>
      </c>
      <c r="H49" s="158"/>
      <c r="I49" s="158"/>
      <c r="J49" s="134"/>
    </row>
    <row r="50" spans="1:10" ht="15" customHeight="1" x14ac:dyDescent="0.25">
      <c r="A50" s="65"/>
      <c r="B50" s="134"/>
      <c r="C50" s="134"/>
      <c r="D50" s="134"/>
      <c r="E50" s="66"/>
      <c r="F50" s="66"/>
      <c r="G50" s="170" t="str">
        <f t="shared" si="1"/>
        <v/>
      </c>
      <c r="H50" s="158"/>
      <c r="I50" s="158"/>
      <c r="J50" s="134"/>
    </row>
    <row r="51" spans="1:10" ht="15" customHeight="1" x14ac:dyDescent="0.25">
      <c r="A51" s="65"/>
      <c r="B51" s="134"/>
      <c r="C51" s="134"/>
      <c r="D51" s="134"/>
      <c r="E51" s="66"/>
      <c r="F51" s="66"/>
      <c r="G51" s="170" t="str">
        <f t="shared" si="1"/>
        <v/>
      </c>
      <c r="H51" s="158"/>
      <c r="I51" s="158"/>
      <c r="J51" s="134"/>
    </row>
    <row r="52" spans="1:10" ht="15" customHeight="1" x14ac:dyDescent="0.25">
      <c r="A52" s="65"/>
      <c r="B52" s="134"/>
      <c r="C52" s="134"/>
      <c r="D52" s="134"/>
      <c r="E52" s="66"/>
      <c r="F52" s="66"/>
      <c r="G52" s="170" t="str">
        <f t="shared" si="1"/>
        <v/>
      </c>
      <c r="H52" s="158"/>
      <c r="I52" s="158"/>
      <c r="J52" s="134"/>
    </row>
    <row r="53" spans="1:10" ht="15" customHeight="1" x14ac:dyDescent="0.25">
      <c r="A53" s="65"/>
      <c r="B53" s="134"/>
      <c r="C53" s="134"/>
      <c r="D53" s="134"/>
      <c r="E53" s="66"/>
      <c r="F53" s="66"/>
      <c r="G53" s="170" t="str">
        <f t="shared" si="1"/>
        <v/>
      </c>
      <c r="H53" s="158"/>
      <c r="I53" s="158"/>
      <c r="J53" s="134"/>
    </row>
    <row r="54" spans="1:10" ht="15" customHeight="1" x14ac:dyDescent="0.25">
      <c r="A54" s="65"/>
      <c r="B54" s="134"/>
      <c r="C54" s="134"/>
      <c r="D54" s="134"/>
      <c r="E54" s="66"/>
      <c r="F54" s="66"/>
      <c r="G54" s="170" t="str">
        <f t="shared" si="1"/>
        <v/>
      </c>
      <c r="H54" s="158"/>
      <c r="I54" s="158"/>
      <c r="J54" s="134"/>
    </row>
    <row r="55" spans="1:10" ht="15" customHeight="1" x14ac:dyDescent="0.25">
      <c r="A55" s="65"/>
      <c r="B55" s="134"/>
      <c r="C55" s="134"/>
      <c r="D55" s="134"/>
      <c r="E55" s="66"/>
      <c r="F55" s="66"/>
      <c r="G55" s="170" t="str">
        <f t="shared" si="1"/>
        <v/>
      </c>
      <c r="H55" s="158"/>
      <c r="I55" s="158"/>
      <c r="J55" s="134"/>
    </row>
    <row r="56" spans="1:10" ht="15" customHeight="1" x14ac:dyDescent="0.25">
      <c r="A56" s="65"/>
      <c r="B56" s="134"/>
      <c r="C56" s="134"/>
      <c r="D56" s="134"/>
      <c r="E56" s="66"/>
      <c r="F56" s="66"/>
      <c r="G56" s="170" t="str">
        <f t="shared" si="1"/>
        <v/>
      </c>
      <c r="H56" s="158"/>
      <c r="I56" s="158"/>
      <c r="J56" s="134"/>
    </row>
    <row r="57" spans="1:10" ht="15" customHeight="1" x14ac:dyDescent="0.25">
      <c r="A57" s="65"/>
      <c r="B57" s="134"/>
      <c r="C57" s="134"/>
      <c r="D57" s="134"/>
      <c r="E57" s="66"/>
      <c r="F57" s="66"/>
      <c r="G57" s="170" t="str">
        <f t="shared" si="1"/>
        <v/>
      </c>
      <c r="H57" s="158"/>
      <c r="I57" s="158"/>
      <c r="J57" s="134"/>
    </row>
    <row r="58" spans="1:10" ht="15" customHeight="1" x14ac:dyDescent="0.25">
      <c r="A58" s="65"/>
      <c r="B58" s="134"/>
      <c r="C58" s="134"/>
      <c r="D58" s="134"/>
      <c r="E58" s="66"/>
      <c r="F58" s="66"/>
      <c r="G58" s="170" t="str">
        <f t="shared" si="1"/>
        <v/>
      </c>
      <c r="H58" s="158"/>
      <c r="I58" s="158"/>
      <c r="J58" s="134"/>
    </row>
    <row r="59" spans="1:10" ht="15" customHeight="1" x14ac:dyDescent="0.25">
      <c r="A59" s="65"/>
      <c r="B59" s="134"/>
      <c r="C59" s="134"/>
      <c r="D59" s="134"/>
      <c r="E59" s="66"/>
      <c r="F59" s="66"/>
      <c r="G59" s="170" t="str">
        <f t="shared" si="1"/>
        <v/>
      </c>
      <c r="H59" s="158"/>
      <c r="I59" s="158"/>
      <c r="J59" s="134"/>
    </row>
    <row r="60" spans="1:10" ht="15" customHeight="1" x14ac:dyDescent="0.25">
      <c r="A60" s="65"/>
      <c r="B60" s="134"/>
      <c r="C60" s="134"/>
      <c r="D60" s="134"/>
      <c r="E60" s="66"/>
      <c r="F60" s="66"/>
      <c r="G60" s="170" t="str">
        <f t="shared" si="1"/>
        <v/>
      </c>
      <c r="H60" s="158"/>
      <c r="I60" s="158"/>
      <c r="J60" s="134"/>
    </row>
    <row r="61" spans="1:10" ht="15" customHeight="1" x14ac:dyDescent="0.25">
      <c r="A61" s="65"/>
      <c r="B61" s="134"/>
      <c r="C61" s="134"/>
      <c r="D61" s="134"/>
      <c r="E61" s="66"/>
      <c r="F61" s="66"/>
      <c r="G61" s="170" t="str">
        <f t="shared" si="1"/>
        <v/>
      </c>
      <c r="H61" s="158"/>
      <c r="I61" s="158"/>
      <c r="J61" s="134"/>
    </row>
    <row r="62" spans="1:10" ht="15" customHeight="1" x14ac:dyDescent="0.25">
      <c r="A62" s="65"/>
      <c r="B62" s="134"/>
      <c r="C62" s="134"/>
      <c r="D62" s="134"/>
      <c r="E62" s="66"/>
      <c r="F62" s="66"/>
      <c r="G62" s="170" t="str">
        <f t="shared" si="1"/>
        <v/>
      </c>
      <c r="H62" s="158"/>
      <c r="I62" s="158"/>
      <c r="J62" s="134"/>
    </row>
    <row r="63" spans="1:10" ht="15" customHeight="1" x14ac:dyDescent="0.25">
      <c r="A63" s="65"/>
      <c r="B63" s="134"/>
      <c r="C63" s="134"/>
      <c r="D63" s="134"/>
      <c r="E63" s="66"/>
      <c r="F63" s="66"/>
      <c r="G63" s="170" t="str">
        <f t="shared" si="1"/>
        <v/>
      </c>
      <c r="H63" s="158"/>
      <c r="I63" s="158"/>
      <c r="J63" s="134"/>
    </row>
    <row r="64" spans="1:10" ht="15" customHeight="1" x14ac:dyDescent="0.25">
      <c r="A64" s="65"/>
      <c r="B64" s="134"/>
      <c r="C64" s="134"/>
      <c r="D64" s="134"/>
      <c r="E64" s="66"/>
      <c r="F64" s="66"/>
      <c r="G64" s="170" t="str">
        <f t="shared" si="1"/>
        <v/>
      </c>
      <c r="H64" s="158"/>
      <c r="I64" s="158"/>
      <c r="J64" s="134"/>
    </row>
    <row r="65" spans="1:10" ht="15" customHeight="1" x14ac:dyDescent="0.25">
      <c r="A65" s="65"/>
      <c r="B65" s="134"/>
      <c r="C65" s="134"/>
      <c r="D65" s="134"/>
      <c r="E65" s="66"/>
      <c r="F65" s="66"/>
      <c r="G65" s="170" t="str">
        <f t="shared" si="1"/>
        <v/>
      </c>
      <c r="H65" s="158"/>
      <c r="I65" s="158"/>
      <c r="J65" s="134"/>
    </row>
    <row r="66" spans="1:10" ht="15" customHeight="1" x14ac:dyDescent="0.25">
      <c r="A66" s="65"/>
      <c r="B66" s="134"/>
      <c r="C66" s="134"/>
      <c r="D66" s="134"/>
      <c r="E66" s="66"/>
      <c r="F66" s="66"/>
      <c r="G66" s="170" t="str">
        <f t="shared" si="1"/>
        <v/>
      </c>
      <c r="H66" s="158"/>
      <c r="I66" s="158"/>
      <c r="J66" s="134"/>
    </row>
    <row r="67" spans="1:10" ht="15" customHeight="1" x14ac:dyDescent="0.25">
      <c r="A67" s="65"/>
      <c r="B67" s="134"/>
      <c r="C67" s="134"/>
      <c r="D67" s="134"/>
      <c r="E67" s="66"/>
      <c r="F67" s="66"/>
      <c r="G67" s="170" t="str">
        <f t="shared" ref="G67:G98" si="2">IFERROR(IF(OR(E67="",F67=""),"",(F67-E67)/E67),"")</f>
        <v/>
      </c>
      <c r="H67" s="158"/>
      <c r="I67" s="158"/>
      <c r="J67" s="134"/>
    </row>
    <row r="68" spans="1:10" ht="15" customHeight="1" x14ac:dyDescent="0.25">
      <c r="A68" s="65"/>
      <c r="B68" s="134"/>
      <c r="C68" s="134"/>
      <c r="D68" s="134"/>
      <c r="E68" s="66"/>
      <c r="F68" s="66"/>
      <c r="G68" s="170" t="str">
        <f t="shared" si="2"/>
        <v/>
      </c>
      <c r="H68" s="158"/>
      <c r="I68" s="158"/>
      <c r="J68" s="134"/>
    </row>
    <row r="69" spans="1:10" ht="15" customHeight="1" x14ac:dyDescent="0.25">
      <c r="A69" s="65"/>
      <c r="B69" s="134"/>
      <c r="C69" s="134"/>
      <c r="D69" s="134"/>
      <c r="E69" s="66"/>
      <c r="F69" s="66"/>
      <c r="G69" s="170" t="str">
        <f t="shared" si="2"/>
        <v/>
      </c>
      <c r="H69" s="158"/>
      <c r="I69" s="158"/>
      <c r="J69" s="134"/>
    </row>
    <row r="70" spans="1:10" ht="15" customHeight="1" x14ac:dyDescent="0.25">
      <c r="A70" s="65"/>
      <c r="B70" s="134"/>
      <c r="C70" s="134"/>
      <c r="D70" s="134"/>
      <c r="E70" s="66"/>
      <c r="F70" s="66"/>
      <c r="G70" s="170" t="str">
        <f t="shared" si="2"/>
        <v/>
      </c>
      <c r="H70" s="158"/>
      <c r="I70" s="158"/>
      <c r="J70" s="134"/>
    </row>
    <row r="71" spans="1:10" ht="15" customHeight="1" x14ac:dyDescent="0.25">
      <c r="A71" s="65"/>
      <c r="B71" s="134"/>
      <c r="C71" s="134"/>
      <c r="D71" s="134"/>
      <c r="E71" s="66"/>
      <c r="F71" s="66"/>
      <c r="G71" s="170" t="str">
        <f t="shared" si="2"/>
        <v/>
      </c>
      <c r="H71" s="158"/>
      <c r="I71" s="158"/>
      <c r="J71" s="134"/>
    </row>
    <row r="72" spans="1:10" ht="15" customHeight="1" x14ac:dyDescent="0.25">
      <c r="A72" s="65"/>
      <c r="B72" s="134"/>
      <c r="C72" s="134"/>
      <c r="D72" s="134"/>
      <c r="E72" s="66"/>
      <c r="F72" s="66"/>
      <c r="G72" s="170" t="str">
        <f t="shared" si="2"/>
        <v/>
      </c>
      <c r="H72" s="158"/>
      <c r="I72" s="158"/>
      <c r="J72" s="134"/>
    </row>
    <row r="73" spans="1:10" ht="15" customHeight="1" x14ac:dyDescent="0.25">
      <c r="A73" s="65"/>
      <c r="B73" s="134"/>
      <c r="C73" s="134"/>
      <c r="D73" s="134"/>
      <c r="E73" s="66"/>
      <c r="F73" s="66"/>
      <c r="G73" s="170" t="str">
        <f t="shared" si="2"/>
        <v/>
      </c>
      <c r="H73" s="158"/>
      <c r="I73" s="158"/>
      <c r="J73" s="134"/>
    </row>
    <row r="74" spans="1:10" ht="15" customHeight="1" x14ac:dyDescent="0.25">
      <c r="A74" s="65"/>
      <c r="B74" s="134"/>
      <c r="C74" s="134"/>
      <c r="D74" s="134"/>
      <c r="E74" s="66"/>
      <c r="F74" s="66"/>
      <c r="G74" s="170" t="str">
        <f t="shared" si="2"/>
        <v/>
      </c>
      <c r="H74" s="158"/>
      <c r="I74" s="158"/>
      <c r="J74" s="134"/>
    </row>
    <row r="75" spans="1:10" ht="15" customHeight="1" x14ac:dyDescent="0.25">
      <c r="A75" s="65"/>
      <c r="B75" s="134"/>
      <c r="C75" s="134"/>
      <c r="D75" s="134"/>
      <c r="E75" s="66"/>
      <c r="F75" s="66"/>
      <c r="G75" s="170" t="str">
        <f t="shared" si="2"/>
        <v/>
      </c>
      <c r="H75" s="158"/>
      <c r="I75" s="158"/>
      <c r="J75" s="134"/>
    </row>
    <row r="76" spans="1:10" ht="15" customHeight="1" x14ac:dyDescent="0.25">
      <c r="A76" s="65"/>
      <c r="B76" s="134"/>
      <c r="C76" s="134"/>
      <c r="D76" s="134"/>
      <c r="E76" s="66"/>
      <c r="F76" s="66"/>
      <c r="G76" s="170" t="str">
        <f t="shared" si="2"/>
        <v/>
      </c>
      <c r="H76" s="158"/>
      <c r="I76" s="158"/>
      <c r="J76" s="134"/>
    </row>
    <row r="77" spans="1:10" ht="15" customHeight="1" x14ac:dyDescent="0.25">
      <c r="A77" s="65"/>
      <c r="B77" s="134"/>
      <c r="C77" s="134"/>
      <c r="D77" s="134"/>
      <c r="E77" s="66"/>
      <c r="F77" s="66"/>
      <c r="G77" s="170" t="str">
        <f t="shared" si="2"/>
        <v/>
      </c>
      <c r="H77" s="158"/>
      <c r="I77" s="158"/>
      <c r="J77" s="134"/>
    </row>
    <row r="78" spans="1:10" ht="15" customHeight="1" x14ac:dyDescent="0.25">
      <c r="A78" s="65"/>
      <c r="B78" s="134"/>
      <c r="C78" s="134"/>
      <c r="D78" s="134"/>
      <c r="E78" s="66"/>
      <c r="F78" s="66"/>
      <c r="G78" s="170" t="str">
        <f t="shared" si="2"/>
        <v/>
      </c>
      <c r="H78" s="158"/>
      <c r="I78" s="158"/>
      <c r="J78" s="134"/>
    </row>
    <row r="79" spans="1:10" ht="15" customHeight="1" x14ac:dyDescent="0.25">
      <c r="A79" s="65"/>
      <c r="B79" s="134"/>
      <c r="C79" s="134"/>
      <c r="D79" s="134"/>
      <c r="E79" s="66"/>
      <c r="F79" s="66"/>
      <c r="G79" s="170" t="str">
        <f t="shared" si="2"/>
        <v/>
      </c>
      <c r="H79" s="158"/>
      <c r="I79" s="158"/>
      <c r="J79" s="134"/>
    </row>
    <row r="80" spans="1:10" ht="15" customHeight="1" x14ac:dyDescent="0.25">
      <c r="A80" s="65"/>
      <c r="B80" s="134"/>
      <c r="C80" s="134"/>
      <c r="D80" s="134"/>
      <c r="E80" s="66"/>
      <c r="F80" s="66"/>
      <c r="G80" s="170" t="str">
        <f t="shared" si="2"/>
        <v/>
      </c>
      <c r="H80" s="158"/>
      <c r="I80" s="158"/>
      <c r="J80" s="134"/>
    </row>
    <row r="81" spans="1:10" ht="15" customHeight="1" x14ac:dyDescent="0.25">
      <c r="A81" s="65"/>
      <c r="B81" s="134"/>
      <c r="C81" s="134"/>
      <c r="D81" s="134"/>
      <c r="E81" s="66"/>
      <c r="F81" s="66"/>
      <c r="G81" s="170" t="str">
        <f t="shared" si="2"/>
        <v/>
      </c>
      <c r="H81" s="158"/>
      <c r="I81" s="158"/>
      <c r="J81" s="134"/>
    </row>
    <row r="82" spans="1:10" ht="15" customHeight="1" x14ac:dyDescent="0.25">
      <c r="A82" s="65"/>
      <c r="B82" s="134"/>
      <c r="C82" s="134"/>
      <c r="D82" s="134"/>
      <c r="E82" s="66"/>
      <c r="F82" s="66"/>
      <c r="G82" s="170" t="str">
        <f t="shared" si="2"/>
        <v/>
      </c>
      <c r="H82" s="158"/>
      <c r="I82" s="158"/>
      <c r="J82" s="134"/>
    </row>
    <row r="83" spans="1:10" ht="15" customHeight="1" x14ac:dyDescent="0.25">
      <c r="A83" s="65"/>
      <c r="B83" s="134"/>
      <c r="C83" s="134"/>
      <c r="D83" s="134"/>
      <c r="E83" s="66"/>
      <c r="F83" s="66"/>
      <c r="G83" s="170" t="str">
        <f t="shared" si="2"/>
        <v/>
      </c>
      <c r="H83" s="158"/>
      <c r="I83" s="158"/>
      <c r="J83" s="134"/>
    </row>
    <row r="84" spans="1:10" ht="15" customHeight="1" x14ac:dyDescent="0.25">
      <c r="A84" s="65"/>
      <c r="B84" s="134"/>
      <c r="C84" s="134"/>
      <c r="D84" s="134"/>
      <c r="E84" s="66"/>
      <c r="F84" s="66"/>
      <c r="G84" s="170" t="str">
        <f t="shared" si="2"/>
        <v/>
      </c>
      <c r="H84" s="158"/>
      <c r="I84" s="158"/>
      <c r="J84" s="134"/>
    </row>
    <row r="85" spans="1:10" ht="15" customHeight="1" x14ac:dyDescent="0.25">
      <c r="A85" s="65"/>
      <c r="B85" s="134"/>
      <c r="C85" s="134"/>
      <c r="D85" s="134"/>
      <c r="E85" s="66"/>
      <c r="F85" s="66"/>
      <c r="G85" s="170" t="str">
        <f t="shared" si="2"/>
        <v/>
      </c>
      <c r="H85" s="158"/>
      <c r="I85" s="158"/>
      <c r="J85" s="134"/>
    </row>
    <row r="86" spans="1:10" ht="15" customHeight="1" x14ac:dyDescent="0.25">
      <c r="A86" s="65"/>
      <c r="B86" s="134"/>
      <c r="C86" s="134"/>
      <c r="D86" s="134"/>
      <c r="E86" s="66"/>
      <c r="F86" s="66"/>
      <c r="G86" s="170" t="str">
        <f t="shared" si="2"/>
        <v/>
      </c>
      <c r="H86" s="158"/>
      <c r="I86" s="158"/>
      <c r="J86" s="134"/>
    </row>
    <row r="87" spans="1:10" ht="15" customHeight="1" x14ac:dyDescent="0.25">
      <c r="A87" s="65"/>
      <c r="B87" s="134"/>
      <c r="C87" s="134"/>
      <c r="D87" s="134"/>
      <c r="E87" s="66"/>
      <c r="F87" s="66"/>
      <c r="G87" s="170" t="str">
        <f t="shared" si="2"/>
        <v/>
      </c>
      <c r="H87" s="158"/>
      <c r="I87" s="158"/>
      <c r="J87" s="134"/>
    </row>
    <row r="88" spans="1:10" ht="15" customHeight="1" x14ac:dyDescent="0.25">
      <c r="A88" s="65"/>
      <c r="B88" s="134"/>
      <c r="C88" s="134"/>
      <c r="D88" s="134"/>
      <c r="E88" s="66"/>
      <c r="F88" s="66"/>
      <c r="G88" s="170" t="str">
        <f t="shared" si="2"/>
        <v/>
      </c>
      <c r="H88" s="158"/>
      <c r="I88" s="158"/>
      <c r="J88" s="134"/>
    </row>
    <row r="89" spans="1:10" ht="15" customHeight="1" x14ac:dyDescent="0.25">
      <c r="A89" s="65"/>
      <c r="B89" s="134"/>
      <c r="C89" s="134"/>
      <c r="D89" s="134"/>
      <c r="E89" s="66"/>
      <c r="F89" s="66"/>
      <c r="G89" s="170" t="str">
        <f t="shared" si="2"/>
        <v/>
      </c>
      <c r="H89" s="158"/>
      <c r="I89" s="158"/>
      <c r="J89" s="134"/>
    </row>
    <row r="90" spans="1:10" ht="15" customHeight="1" x14ac:dyDescent="0.25">
      <c r="A90" s="65"/>
      <c r="B90" s="134"/>
      <c r="C90" s="134"/>
      <c r="D90" s="134"/>
      <c r="E90" s="66"/>
      <c r="F90" s="66"/>
      <c r="G90" s="170" t="str">
        <f t="shared" si="2"/>
        <v/>
      </c>
      <c r="H90" s="158"/>
      <c r="I90" s="158"/>
      <c r="J90" s="134"/>
    </row>
    <row r="91" spans="1:10" ht="15" customHeight="1" x14ac:dyDescent="0.25">
      <c r="A91" s="65"/>
      <c r="B91" s="134"/>
      <c r="C91" s="134"/>
      <c r="D91" s="134"/>
      <c r="E91" s="66"/>
      <c r="F91" s="66"/>
      <c r="G91" s="170" t="str">
        <f t="shared" si="2"/>
        <v/>
      </c>
      <c r="H91" s="158"/>
      <c r="I91" s="158"/>
      <c r="J91" s="134"/>
    </row>
    <row r="92" spans="1:10" ht="15" customHeight="1" x14ac:dyDescent="0.25">
      <c r="A92" s="65"/>
      <c r="B92" s="134"/>
      <c r="C92" s="134"/>
      <c r="D92" s="134"/>
      <c r="E92" s="66"/>
      <c r="F92" s="66"/>
      <c r="G92" s="170" t="str">
        <f t="shared" si="2"/>
        <v/>
      </c>
      <c r="H92" s="158"/>
      <c r="I92" s="158"/>
      <c r="J92" s="134"/>
    </row>
    <row r="93" spans="1:10" ht="15" customHeight="1" x14ac:dyDescent="0.25">
      <c r="A93" s="65"/>
      <c r="B93" s="134"/>
      <c r="C93" s="134"/>
      <c r="D93" s="134"/>
      <c r="E93" s="66"/>
      <c r="F93" s="66"/>
      <c r="G93" s="170" t="str">
        <f t="shared" si="2"/>
        <v/>
      </c>
      <c r="H93" s="158"/>
      <c r="I93" s="158"/>
      <c r="J93" s="134"/>
    </row>
    <row r="94" spans="1:10" ht="15" customHeight="1" x14ac:dyDescent="0.25">
      <c r="A94" s="65"/>
      <c r="B94" s="134"/>
      <c r="C94" s="134"/>
      <c r="D94" s="134"/>
      <c r="E94" s="66"/>
      <c r="F94" s="66"/>
      <c r="G94" s="170" t="str">
        <f t="shared" si="2"/>
        <v/>
      </c>
      <c r="H94" s="158"/>
      <c r="I94" s="158"/>
      <c r="J94" s="134"/>
    </row>
    <row r="95" spans="1:10" ht="15" customHeight="1" x14ac:dyDescent="0.25">
      <c r="A95" s="65"/>
      <c r="B95" s="134"/>
      <c r="C95" s="134"/>
      <c r="D95" s="134"/>
      <c r="E95" s="66"/>
      <c r="F95" s="66"/>
      <c r="G95" s="170" t="str">
        <f t="shared" si="2"/>
        <v/>
      </c>
      <c r="H95" s="158"/>
      <c r="I95" s="158"/>
      <c r="J95" s="134"/>
    </row>
    <row r="96" spans="1:10" ht="15" customHeight="1" x14ac:dyDescent="0.25">
      <c r="A96" s="65"/>
      <c r="B96" s="134"/>
      <c r="C96" s="134"/>
      <c r="D96" s="134"/>
      <c r="E96" s="66"/>
      <c r="F96" s="66"/>
      <c r="G96" s="170" t="str">
        <f t="shared" si="2"/>
        <v/>
      </c>
      <c r="H96" s="158"/>
      <c r="I96" s="158"/>
      <c r="J96" s="134"/>
    </row>
    <row r="97" spans="1:10" ht="15" customHeight="1" x14ac:dyDescent="0.25">
      <c r="A97" s="65"/>
      <c r="B97" s="134"/>
      <c r="C97" s="134"/>
      <c r="D97" s="134"/>
      <c r="E97" s="66"/>
      <c r="F97" s="66"/>
      <c r="G97" s="170" t="str">
        <f t="shared" si="2"/>
        <v/>
      </c>
      <c r="H97" s="158"/>
      <c r="I97" s="158"/>
      <c r="J97" s="134"/>
    </row>
    <row r="98" spans="1:10" ht="15" customHeight="1" x14ac:dyDescent="0.25">
      <c r="A98" s="65"/>
      <c r="B98" s="134"/>
      <c r="C98" s="134"/>
      <c r="D98" s="134"/>
      <c r="E98" s="66"/>
      <c r="F98" s="66"/>
      <c r="G98" s="170" t="str">
        <f t="shared" si="2"/>
        <v/>
      </c>
      <c r="H98" s="158"/>
      <c r="I98" s="158"/>
      <c r="J98" s="134"/>
    </row>
    <row r="99" spans="1:10" ht="15" customHeight="1" x14ac:dyDescent="0.25">
      <c r="A99" s="65"/>
      <c r="B99" s="134"/>
      <c r="C99" s="134"/>
      <c r="D99" s="134"/>
      <c r="E99" s="66"/>
      <c r="F99" s="66"/>
      <c r="G99" s="170" t="str">
        <f t="shared" ref="G99:G130" si="3">IFERROR(IF(OR(E99="",F99=""),"",(F99-E99)/E99),"")</f>
        <v/>
      </c>
      <c r="H99" s="158"/>
      <c r="I99" s="158"/>
      <c r="J99" s="134"/>
    </row>
    <row r="100" spans="1:10" ht="15" customHeight="1" x14ac:dyDescent="0.25">
      <c r="A100" s="65"/>
      <c r="B100" s="134"/>
      <c r="C100" s="134"/>
      <c r="D100" s="134"/>
      <c r="E100" s="66"/>
      <c r="F100" s="66"/>
      <c r="G100" s="170" t="str">
        <f t="shared" si="3"/>
        <v/>
      </c>
      <c r="H100" s="158"/>
      <c r="I100" s="158"/>
      <c r="J100" s="134"/>
    </row>
    <row r="101" spans="1:10" ht="15" customHeight="1" x14ac:dyDescent="0.25">
      <c r="A101" s="65"/>
      <c r="B101" s="134"/>
      <c r="C101" s="134"/>
      <c r="D101" s="134"/>
      <c r="E101" s="66"/>
      <c r="F101" s="66"/>
      <c r="G101" s="170" t="str">
        <f t="shared" si="3"/>
        <v/>
      </c>
      <c r="H101" s="158"/>
      <c r="I101" s="158"/>
      <c r="J101" s="134"/>
    </row>
    <row r="102" spans="1:10" ht="15" customHeight="1" x14ac:dyDescent="0.25">
      <c r="A102" s="65"/>
      <c r="B102" s="134"/>
      <c r="C102" s="134"/>
      <c r="D102" s="134"/>
      <c r="E102" s="66"/>
      <c r="F102" s="66"/>
      <c r="G102" s="170" t="str">
        <f t="shared" si="3"/>
        <v/>
      </c>
      <c r="H102" s="158"/>
      <c r="I102" s="158"/>
      <c r="J102" s="134"/>
    </row>
    <row r="103" spans="1:10" ht="15" customHeight="1" x14ac:dyDescent="0.25">
      <c r="A103" s="65"/>
      <c r="B103" s="134"/>
      <c r="C103" s="134"/>
      <c r="D103" s="134"/>
      <c r="E103" s="66"/>
      <c r="F103" s="66"/>
      <c r="G103" s="170" t="str">
        <f t="shared" si="3"/>
        <v/>
      </c>
      <c r="H103" s="158"/>
      <c r="I103" s="158"/>
      <c r="J103" s="134"/>
    </row>
    <row r="104" spans="1:10" ht="15" customHeight="1" x14ac:dyDescent="0.25">
      <c r="A104" s="65"/>
      <c r="B104" s="134"/>
      <c r="C104" s="134"/>
      <c r="D104" s="134"/>
      <c r="E104" s="66"/>
      <c r="F104" s="66"/>
      <c r="G104" s="170" t="str">
        <f t="shared" si="3"/>
        <v/>
      </c>
      <c r="H104" s="158"/>
      <c r="I104" s="158"/>
      <c r="J104" s="134"/>
    </row>
    <row r="105" spans="1:10" ht="15" customHeight="1" x14ac:dyDescent="0.25">
      <c r="A105" s="65"/>
      <c r="B105" s="134"/>
      <c r="C105" s="134"/>
      <c r="D105" s="134"/>
      <c r="E105" s="66"/>
      <c r="F105" s="66"/>
      <c r="G105" s="170" t="str">
        <f t="shared" si="3"/>
        <v/>
      </c>
      <c r="H105" s="158"/>
      <c r="I105" s="158"/>
      <c r="J105" s="134"/>
    </row>
    <row r="106" spans="1:10" ht="15" customHeight="1" x14ac:dyDescent="0.25">
      <c r="A106" s="65"/>
      <c r="B106" s="134"/>
      <c r="C106" s="134"/>
      <c r="D106" s="134"/>
      <c r="E106" s="66"/>
      <c r="F106" s="66"/>
      <c r="G106" s="170" t="str">
        <f t="shared" si="3"/>
        <v/>
      </c>
      <c r="H106" s="158"/>
      <c r="I106" s="158"/>
      <c r="J106" s="134"/>
    </row>
    <row r="107" spans="1:10" ht="15" customHeight="1" x14ac:dyDescent="0.25">
      <c r="A107" s="65"/>
      <c r="B107" s="134"/>
      <c r="C107" s="134"/>
      <c r="D107" s="134"/>
      <c r="E107" s="66"/>
      <c r="F107" s="66"/>
      <c r="G107" s="170" t="str">
        <f t="shared" si="3"/>
        <v/>
      </c>
      <c r="H107" s="158"/>
      <c r="I107" s="158"/>
      <c r="J107" s="134"/>
    </row>
    <row r="108" spans="1:10" ht="15" customHeight="1" x14ac:dyDescent="0.25">
      <c r="A108" s="65"/>
      <c r="B108" s="134"/>
      <c r="C108" s="134"/>
      <c r="D108" s="134"/>
      <c r="E108" s="66"/>
      <c r="F108" s="66"/>
      <c r="G108" s="170" t="str">
        <f t="shared" si="3"/>
        <v/>
      </c>
      <c r="H108" s="158"/>
      <c r="I108" s="158"/>
      <c r="J108" s="134"/>
    </row>
    <row r="109" spans="1:10" ht="15" customHeight="1" x14ac:dyDescent="0.25">
      <c r="A109" s="65"/>
      <c r="B109" s="134"/>
      <c r="C109" s="134"/>
      <c r="D109" s="134"/>
      <c r="E109" s="66"/>
      <c r="F109" s="66"/>
      <c r="G109" s="170" t="str">
        <f t="shared" si="3"/>
        <v/>
      </c>
      <c r="H109" s="158"/>
      <c r="I109" s="158"/>
      <c r="J109" s="134"/>
    </row>
    <row r="110" spans="1:10" ht="15" customHeight="1" x14ac:dyDescent="0.25">
      <c r="A110" s="65"/>
      <c r="B110" s="134"/>
      <c r="C110" s="134"/>
      <c r="D110" s="134"/>
      <c r="E110" s="66"/>
      <c r="F110" s="66"/>
      <c r="G110" s="170" t="str">
        <f t="shared" si="3"/>
        <v/>
      </c>
      <c r="H110" s="158"/>
      <c r="I110" s="158"/>
      <c r="J110" s="134"/>
    </row>
    <row r="111" spans="1:10" ht="15" customHeight="1" x14ac:dyDescent="0.25">
      <c r="A111" s="65"/>
      <c r="B111" s="134"/>
      <c r="C111" s="134"/>
      <c r="D111" s="134"/>
      <c r="E111" s="66"/>
      <c r="F111" s="66"/>
      <c r="G111" s="170" t="str">
        <f t="shared" si="3"/>
        <v/>
      </c>
      <c r="H111" s="158"/>
      <c r="I111" s="158"/>
      <c r="J111" s="134"/>
    </row>
    <row r="112" spans="1:10" ht="15" customHeight="1" x14ac:dyDescent="0.25">
      <c r="A112" s="65"/>
      <c r="B112" s="134"/>
      <c r="C112" s="134"/>
      <c r="D112" s="134"/>
      <c r="E112" s="66"/>
      <c r="F112" s="66"/>
      <c r="G112" s="170" t="str">
        <f t="shared" si="3"/>
        <v/>
      </c>
      <c r="H112" s="158"/>
      <c r="I112" s="158"/>
      <c r="J112" s="134"/>
    </row>
    <row r="113" spans="1:10" ht="15" customHeight="1" x14ac:dyDescent="0.25">
      <c r="A113" s="65"/>
      <c r="B113" s="134"/>
      <c r="C113" s="134"/>
      <c r="D113" s="134"/>
      <c r="E113" s="66"/>
      <c r="F113" s="66"/>
      <c r="G113" s="170" t="str">
        <f t="shared" si="3"/>
        <v/>
      </c>
      <c r="H113" s="158"/>
      <c r="I113" s="158"/>
      <c r="J113" s="134"/>
    </row>
    <row r="114" spans="1:10" ht="15" customHeight="1" x14ac:dyDescent="0.25">
      <c r="A114" s="65"/>
      <c r="B114" s="134"/>
      <c r="C114" s="134"/>
      <c r="D114" s="134"/>
      <c r="E114" s="66"/>
      <c r="F114" s="66"/>
      <c r="G114" s="170" t="str">
        <f t="shared" si="3"/>
        <v/>
      </c>
      <c r="H114" s="158"/>
      <c r="I114" s="158"/>
      <c r="J114" s="134"/>
    </row>
    <row r="115" spans="1:10" ht="15" customHeight="1" x14ac:dyDescent="0.25">
      <c r="A115" s="65"/>
      <c r="B115" s="134"/>
      <c r="C115" s="134"/>
      <c r="D115" s="134"/>
      <c r="E115" s="66"/>
      <c r="F115" s="66"/>
      <c r="G115" s="170" t="str">
        <f t="shared" si="3"/>
        <v/>
      </c>
      <c r="H115" s="158"/>
      <c r="I115" s="158"/>
      <c r="J115" s="134"/>
    </row>
    <row r="116" spans="1:10" ht="15" customHeight="1" x14ac:dyDescent="0.25">
      <c r="A116" s="65"/>
      <c r="B116" s="134"/>
      <c r="C116" s="134"/>
      <c r="D116" s="134"/>
      <c r="E116" s="66"/>
      <c r="F116" s="66"/>
      <c r="G116" s="170" t="str">
        <f t="shared" si="3"/>
        <v/>
      </c>
      <c r="H116" s="158"/>
      <c r="I116" s="158"/>
      <c r="J116" s="134"/>
    </row>
    <row r="117" spans="1:10" ht="15" customHeight="1" x14ac:dyDescent="0.25">
      <c r="A117" s="65"/>
      <c r="B117" s="134"/>
      <c r="C117" s="134"/>
      <c r="D117" s="134"/>
      <c r="E117" s="66"/>
      <c r="F117" s="66"/>
      <c r="G117" s="170" t="str">
        <f t="shared" si="3"/>
        <v/>
      </c>
      <c r="H117" s="158"/>
      <c r="I117" s="158"/>
      <c r="J117" s="134"/>
    </row>
    <row r="118" spans="1:10" ht="15" customHeight="1" x14ac:dyDescent="0.25">
      <c r="A118" s="65"/>
      <c r="B118" s="134"/>
      <c r="C118" s="134"/>
      <c r="D118" s="134"/>
      <c r="E118" s="66"/>
      <c r="F118" s="66"/>
      <c r="G118" s="170" t="str">
        <f t="shared" si="3"/>
        <v/>
      </c>
      <c r="H118" s="158"/>
      <c r="I118" s="158"/>
      <c r="J118" s="134"/>
    </row>
    <row r="119" spans="1:10" ht="15" customHeight="1" x14ac:dyDescent="0.25">
      <c r="A119" s="65"/>
      <c r="B119" s="134"/>
      <c r="C119" s="134"/>
      <c r="D119" s="134"/>
      <c r="E119" s="66"/>
      <c r="F119" s="66"/>
      <c r="G119" s="170" t="str">
        <f t="shared" si="3"/>
        <v/>
      </c>
      <c r="H119" s="158"/>
      <c r="I119" s="158"/>
      <c r="J119" s="134"/>
    </row>
    <row r="120" spans="1:10" ht="15" customHeight="1" x14ac:dyDescent="0.25">
      <c r="A120" s="65"/>
      <c r="B120" s="134"/>
      <c r="C120" s="134"/>
      <c r="D120" s="134"/>
      <c r="E120" s="66"/>
      <c r="F120" s="66"/>
      <c r="G120" s="170" t="str">
        <f t="shared" si="3"/>
        <v/>
      </c>
      <c r="H120" s="158"/>
      <c r="I120" s="158"/>
      <c r="J120" s="134"/>
    </row>
    <row r="121" spans="1:10" ht="15" customHeight="1" x14ac:dyDescent="0.25">
      <c r="A121" s="65"/>
      <c r="B121" s="134"/>
      <c r="C121" s="134"/>
      <c r="D121" s="134"/>
      <c r="E121" s="66"/>
      <c r="F121" s="66"/>
      <c r="G121" s="170" t="str">
        <f t="shared" si="3"/>
        <v/>
      </c>
      <c r="H121" s="158"/>
      <c r="I121" s="158"/>
      <c r="J121" s="134"/>
    </row>
    <row r="122" spans="1:10" ht="15" customHeight="1" x14ac:dyDescent="0.25">
      <c r="A122" s="65"/>
      <c r="B122" s="134"/>
      <c r="C122" s="134"/>
      <c r="D122" s="134"/>
      <c r="E122" s="66"/>
      <c r="F122" s="66"/>
      <c r="G122" s="170" t="str">
        <f t="shared" si="3"/>
        <v/>
      </c>
      <c r="H122" s="158"/>
      <c r="I122" s="158"/>
      <c r="J122" s="134"/>
    </row>
    <row r="123" spans="1:10" ht="15" customHeight="1" x14ac:dyDescent="0.25">
      <c r="A123" s="65"/>
      <c r="B123" s="134"/>
      <c r="C123" s="134"/>
      <c r="D123" s="134"/>
      <c r="E123" s="66"/>
      <c r="F123" s="66"/>
      <c r="G123" s="170" t="str">
        <f t="shared" si="3"/>
        <v/>
      </c>
      <c r="H123" s="158"/>
      <c r="I123" s="158"/>
      <c r="J123" s="134"/>
    </row>
    <row r="124" spans="1:10" ht="15" customHeight="1" x14ac:dyDescent="0.25">
      <c r="A124" s="65"/>
      <c r="B124" s="134"/>
      <c r="C124" s="134"/>
      <c r="D124" s="134"/>
      <c r="E124" s="66"/>
      <c r="F124" s="66"/>
      <c r="G124" s="170" t="str">
        <f t="shared" si="3"/>
        <v/>
      </c>
      <c r="H124" s="158"/>
      <c r="I124" s="158"/>
      <c r="J124" s="134"/>
    </row>
    <row r="125" spans="1:10" ht="15" customHeight="1" x14ac:dyDescent="0.25">
      <c r="A125" s="65"/>
      <c r="B125" s="134"/>
      <c r="C125" s="134"/>
      <c r="D125" s="134"/>
      <c r="E125" s="66"/>
      <c r="F125" s="66"/>
      <c r="G125" s="170" t="str">
        <f t="shared" si="3"/>
        <v/>
      </c>
      <c r="H125" s="158"/>
      <c r="I125" s="158"/>
      <c r="J125" s="134"/>
    </row>
    <row r="126" spans="1:10" ht="15" customHeight="1" x14ac:dyDescent="0.25">
      <c r="A126" s="65"/>
      <c r="B126" s="134"/>
      <c r="C126" s="134"/>
      <c r="D126" s="134"/>
      <c r="E126" s="66"/>
      <c r="F126" s="66"/>
      <c r="G126" s="170" t="str">
        <f t="shared" si="3"/>
        <v/>
      </c>
      <c r="H126" s="158"/>
      <c r="I126" s="158"/>
      <c r="J126" s="134"/>
    </row>
    <row r="127" spans="1:10" ht="15" customHeight="1" x14ac:dyDescent="0.25">
      <c r="A127" s="65"/>
      <c r="B127" s="134"/>
      <c r="C127" s="134"/>
      <c r="D127" s="134"/>
      <c r="E127" s="66"/>
      <c r="F127" s="66"/>
      <c r="G127" s="170" t="str">
        <f t="shared" si="3"/>
        <v/>
      </c>
      <c r="H127" s="158"/>
      <c r="I127" s="158"/>
      <c r="J127" s="134"/>
    </row>
    <row r="128" spans="1:10" ht="15" customHeight="1" x14ac:dyDescent="0.25">
      <c r="A128" s="65"/>
      <c r="B128" s="134"/>
      <c r="C128" s="134"/>
      <c r="D128" s="134"/>
      <c r="E128" s="66"/>
      <c r="F128" s="66"/>
      <c r="G128" s="170" t="str">
        <f t="shared" si="3"/>
        <v/>
      </c>
      <c r="H128" s="158"/>
      <c r="I128" s="158"/>
      <c r="J128" s="134"/>
    </row>
    <row r="129" spans="1:10" ht="15" customHeight="1" x14ac:dyDescent="0.25">
      <c r="A129" s="65"/>
      <c r="B129" s="134"/>
      <c r="C129" s="134"/>
      <c r="D129" s="134"/>
      <c r="E129" s="66"/>
      <c r="F129" s="66"/>
      <c r="G129" s="170" t="str">
        <f t="shared" si="3"/>
        <v/>
      </c>
      <c r="H129" s="158"/>
      <c r="I129" s="158"/>
      <c r="J129" s="134"/>
    </row>
    <row r="130" spans="1:10" ht="15" customHeight="1" x14ac:dyDescent="0.25">
      <c r="A130" s="65"/>
      <c r="B130" s="134"/>
      <c r="C130" s="134"/>
      <c r="D130" s="134"/>
      <c r="E130" s="66"/>
      <c r="F130" s="66"/>
      <c r="G130" s="170" t="str">
        <f t="shared" si="3"/>
        <v/>
      </c>
      <c r="H130" s="158"/>
      <c r="I130" s="158"/>
      <c r="J130" s="134"/>
    </row>
    <row r="131" spans="1:10" ht="15" customHeight="1" x14ac:dyDescent="0.25">
      <c r="A131" s="65"/>
      <c r="B131" s="134"/>
      <c r="C131" s="134"/>
      <c r="D131" s="134"/>
      <c r="E131" s="66"/>
      <c r="F131" s="66"/>
      <c r="G131" s="170" t="str">
        <f t="shared" ref="G131:G162" si="4">IFERROR(IF(OR(E131="",F131=""),"",(F131-E131)/E131),"")</f>
        <v/>
      </c>
      <c r="H131" s="158"/>
      <c r="I131" s="158"/>
      <c r="J131" s="134"/>
    </row>
    <row r="132" spans="1:10" ht="15" customHeight="1" x14ac:dyDescent="0.25">
      <c r="A132" s="65"/>
      <c r="B132" s="134"/>
      <c r="C132" s="134"/>
      <c r="D132" s="134"/>
      <c r="E132" s="66"/>
      <c r="F132" s="66"/>
      <c r="G132" s="170" t="str">
        <f t="shared" si="4"/>
        <v/>
      </c>
      <c r="H132" s="158"/>
      <c r="I132" s="158"/>
      <c r="J132" s="134"/>
    </row>
    <row r="133" spans="1:10" ht="15" customHeight="1" x14ac:dyDescent="0.25">
      <c r="A133" s="65"/>
      <c r="B133" s="134"/>
      <c r="C133" s="134"/>
      <c r="D133" s="134"/>
      <c r="E133" s="66"/>
      <c r="F133" s="66"/>
      <c r="G133" s="170" t="str">
        <f t="shared" si="4"/>
        <v/>
      </c>
      <c r="H133" s="158"/>
      <c r="I133" s="158"/>
      <c r="J133" s="134"/>
    </row>
    <row r="134" spans="1:10" ht="15" customHeight="1" x14ac:dyDescent="0.25">
      <c r="A134" s="65"/>
      <c r="B134" s="134"/>
      <c r="C134" s="134"/>
      <c r="D134" s="134"/>
      <c r="E134" s="66"/>
      <c r="F134" s="66"/>
      <c r="G134" s="170" t="str">
        <f t="shared" si="4"/>
        <v/>
      </c>
      <c r="H134" s="158"/>
      <c r="I134" s="158"/>
      <c r="J134" s="134"/>
    </row>
    <row r="135" spans="1:10" ht="15" customHeight="1" x14ac:dyDescent="0.25">
      <c r="A135" s="65"/>
      <c r="B135" s="134"/>
      <c r="C135" s="134"/>
      <c r="D135" s="134"/>
      <c r="E135" s="66"/>
      <c r="F135" s="66"/>
      <c r="G135" s="170" t="str">
        <f t="shared" si="4"/>
        <v/>
      </c>
      <c r="H135" s="158"/>
      <c r="I135" s="158"/>
      <c r="J135" s="134"/>
    </row>
    <row r="136" spans="1:10" ht="15" customHeight="1" x14ac:dyDescent="0.25">
      <c r="A136" s="65"/>
      <c r="B136" s="134"/>
      <c r="C136" s="134"/>
      <c r="D136" s="134"/>
      <c r="E136" s="66"/>
      <c r="F136" s="66"/>
      <c r="G136" s="170" t="str">
        <f t="shared" si="4"/>
        <v/>
      </c>
      <c r="H136" s="158"/>
      <c r="I136" s="158"/>
      <c r="J136" s="134"/>
    </row>
    <row r="137" spans="1:10" ht="15" customHeight="1" x14ac:dyDescent="0.25">
      <c r="A137" s="65"/>
      <c r="B137" s="134"/>
      <c r="C137" s="134"/>
      <c r="D137" s="134"/>
      <c r="E137" s="66"/>
      <c r="F137" s="66"/>
      <c r="G137" s="170" t="str">
        <f t="shared" si="4"/>
        <v/>
      </c>
      <c r="H137" s="158"/>
      <c r="I137" s="158"/>
      <c r="J137" s="134"/>
    </row>
    <row r="138" spans="1:10" ht="15" customHeight="1" x14ac:dyDescent="0.25">
      <c r="A138" s="65"/>
      <c r="B138" s="134"/>
      <c r="C138" s="134"/>
      <c r="D138" s="134"/>
      <c r="E138" s="66"/>
      <c r="F138" s="66"/>
      <c r="G138" s="170" t="str">
        <f t="shared" si="4"/>
        <v/>
      </c>
      <c r="H138" s="158"/>
      <c r="I138" s="158"/>
      <c r="J138" s="134"/>
    </row>
    <row r="139" spans="1:10" ht="15" customHeight="1" x14ac:dyDescent="0.25">
      <c r="A139" s="65"/>
      <c r="B139" s="134"/>
      <c r="C139" s="134"/>
      <c r="D139" s="134"/>
      <c r="E139" s="66"/>
      <c r="F139" s="66"/>
      <c r="G139" s="170" t="str">
        <f t="shared" si="4"/>
        <v/>
      </c>
      <c r="H139" s="158"/>
      <c r="I139" s="158"/>
      <c r="J139" s="134"/>
    </row>
    <row r="140" spans="1:10" ht="15" customHeight="1" x14ac:dyDescent="0.25">
      <c r="A140" s="65"/>
      <c r="B140" s="134"/>
      <c r="C140" s="134"/>
      <c r="D140" s="134"/>
      <c r="E140" s="66"/>
      <c r="F140" s="66"/>
      <c r="G140" s="170" t="str">
        <f t="shared" si="4"/>
        <v/>
      </c>
      <c r="H140" s="158"/>
      <c r="I140" s="158"/>
      <c r="J140" s="134"/>
    </row>
    <row r="141" spans="1:10" ht="15" customHeight="1" x14ac:dyDescent="0.25">
      <c r="A141" s="65"/>
      <c r="B141" s="134"/>
      <c r="C141" s="134"/>
      <c r="D141" s="134"/>
      <c r="E141" s="66"/>
      <c r="F141" s="66"/>
      <c r="G141" s="170" t="str">
        <f t="shared" si="4"/>
        <v/>
      </c>
      <c r="H141" s="158"/>
      <c r="I141" s="158"/>
      <c r="J141" s="134"/>
    </row>
    <row r="142" spans="1:10" ht="15" customHeight="1" x14ac:dyDescent="0.25">
      <c r="A142" s="65"/>
      <c r="B142" s="134"/>
      <c r="C142" s="134"/>
      <c r="D142" s="134"/>
      <c r="E142" s="66"/>
      <c r="F142" s="66"/>
      <c r="G142" s="170" t="str">
        <f t="shared" si="4"/>
        <v/>
      </c>
      <c r="H142" s="158"/>
      <c r="I142" s="158"/>
      <c r="J142" s="134"/>
    </row>
    <row r="143" spans="1:10" ht="15" customHeight="1" x14ac:dyDescent="0.25">
      <c r="A143" s="65"/>
      <c r="B143" s="134"/>
      <c r="C143" s="134"/>
      <c r="D143" s="134"/>
      <c r="E143" s="66"/>
      <c r="F143" s="66"/>
      <c r="G143" s="170" t="str">
        <f t="shared" si="4"/>
        <v/>
      </c>
      <c r="H143" s="158"/>
      <c r="I143" s="158"/>
      <c r="J143" s="134"/>
    </row>
    <row r="144" spans="1:10" ht="15" customHeight="1" x14ac:dyDescent="0.25">
      <c r="A144" s="65"/>
      <c r="B144" s="134"/>
      <c r="C144" s="134"/>
      <c r="D144" s="134"/>
      <c r="E144" s="66"/>
      <c r="F144" s="66"/>
      <c r="G144" s="170" t="str">
        <f t="shared" si="4"/>
        <v/>
      </c>
      <c r="H144" s="158"/>
      <c r="I144" s="158"/>
      <c r="J144" s="134"/>
    </row>
    <row r="145" spans="1:10" ht="15" customHeight="1" x14ac:dyDescent="0.25">
      <c r="A145" s="65"/>
      <c r="B145" s="134"/>
      <c r="C145" s="134"/>
      <c r="D145" s="134"/>
      <c r="E145" s="66"/>
      <c r="F145" s="66"/>
      <c r="G145" s="170" t="str">
        <f t="shared" si="4"/>
        <v/>
      </c>
      <c r="H145" s="158"/>
      <c r="I145" s="158"/>
      <c r="J145" s="134"/>
    </row>
    <row r="146" spans="1:10" ht="15" customHeight="1" x14ac:dyDescent="0.25">
      <c r="A146" s="65"/>
      <c r="B146" s="134"/>
      <c r="C146" s="134"/>
      <c r="D146" s="134"/>
      <c r="E146" s="66"/>
      <c r="F146" s="66"/>
      <c r="G146" s="170" t="str">
        <f t="shared" si="4"/>
        <v/>
      </c>
      <c r="H146" s="158"/>
      <c r="I146" s="158"/>
      <c r="J146" s="134"/>
    </row>
    <row r="147" spans="1:10" ht="15" customHeight="1" x14ac:dyDescent="0.25">
      <c r="A147" s="65"/>
      <c r="B147" s="134"/>
      <c r="C147" s="134"/>
      <c r="D147" s="134"/>
      <c r="E147" s="66"/>
      <c r="F147" s="66"/>
      <c r="G147" s="170" t="str">
        <f t="shared" si="4"/>
        <v/>
      </c>
      <c r="H147" s="158"/>
      <c r="I147" s="158"/>
      <c r="J147" s="134"/>
    </row>
    <row r="148" spans="1:10" ht="15" customHeight="1" x14ac:dyDescent="0.25">
      <c r="A148" s="65"/>
      <c r="B148" s="134"/>
      <c r="C148" s="134"/>
      <c r="D148" s="134"/>
      <c r="E148" s="66"/>
      <c r="F148" s="66"/>
      <c r="G148" s="170" t="str">
        <f t="shared" si="4"/>
        <v/>
      </c>
      <c r="H148" s="158"/>
      <c r="I148" s="158"/>
      <c r="J148" s="134"/>
    </row>
    <row r="149" spans="1:10" ht="15" customHeight="1" x14ac:dyDescent="0.25">
      <c r="A149" s="65"/>
      <c r="B149" s="134"/>
      <c r="C149" s="134"/>
      <c r="D149" s="134"/>
      <c r="E149" s="66"/>
      <c r="F149" s="66"/>
      <c r="G149" s="170" t="str">
        <f t="shared" si="4"/>
        <v/>
      </c>
      <c r="H149" s="158"/>
      <c r="I149" s="158"/>
      <c r="J149" s="134"/>
    </row>
    <row r="150" spans="1:10" ht="15" customHeight="1" x14ac:dyDescent="0.25">
      <c r="A150" s="65"/>
      <c r="B150" s="134"/>
      <c r="C150" s="134"/>
      <c r="D150" s="134"/>
      <c r="E150" s="66"/>
      <c r="F150" s="66"/>
      <c r="G150" s="170" t="str">
        <f t="shared" si="4"/>
        <v/>
      </c>
      <c r="H150" s="158"/>
      <c r="I150" s="158"/>
      <c r="J150" s="134"/>
    </row>
    <row r="151" spans="1:10" ht="15" customHeight="1" x14ac:dyDescent="0.25">
      <c r="A151" s="65"/>
      <c r="B151" s="134"/>
      <c r="C151" s="134"/>
      <c r="D151" s="134"/>
      <c r="E151" s="66"/>
      <c r="F151" s="66"/>
      <c r="G151" s="170" t="str">
        <f t="shared" si="4"/>
        <v/>
      </c>
      <c r="H151" s="158"/>
      <c r="I151" s="158"/>
      <c r="J151" s="134"/>
    </row>
    <row r="152" spans="1:10" ht="15" customHeight="1" x14ac:dyDescent="0.25">
      <c r="A152" s="65"/>
      <c r="B152" s="134"/>
      <c r="C152" s="134"/>
      <c r="D152" s="134"/>
      <c r="E152" s="66"/>
      <c r="F152" s="66"/>
      <c r="G152" s="170" t="str">
        <f t="shared" si="4"/>
        <v/>
      </c>
      <c r="H152" s="158"/>
      <c r="I152" s="158"/>
      <c r="J152" s="134"/>
    </row>
    <row r="153" spans="1:10" ht="15" customHeight="1" x14ac:dyDescent="0.25">
      <c r="A153" s="65"/>
      <c r="B153" s="134"/>
      <c r="C153" s="134"/>
      <c r="D153" s="134"/>
      <c r="E153" s="66"/>
      <c r="F153" s="66"/>
      <c r="G153" s="170" t="str">
        <f t="shared" si="4"/>
        <v/>
      </c>
      <c r="H153" s="158"/>
      <c r="I153" s="158"/>
      <c r="J153" s="134"/>
    </row>
    <row r="154" spans="1:10" ht="15" customHeight="1" x14ac:dyDescent="0.25">
      <c r="A154" s="65"/>
      <c r="B154" s="134"/>
      <c r="C154" s="134"/>
      <c r="D154" s="134"/>
      <c r="E154" s="66"/>
      <c r="F154" s="66"/>
      <c r="G154" s="170" t="str">
        <f t="shared" si="4"/>
        <v/>
      </c>
      <c r="H154" s="158"/>
      <c r="I154" s="158"/>
      <c r="J154" s="134"/>
    </row>
    <row r="155" spans="1:10" ht="15" customHeight="1" x14ac:dyDescent="0.25">
      <c r="A155" s="65"/>
      <c r="B155" s="134"/>
      <c r="C155" s="134"/>
      <c r="D155" s="134"/>
      <c r="E155" s="66"/>
      <c r="F155" s="66"/>
      <c r="G155" s="170" t="str">
        <f t="shared" si="4"/>
        <v/>
      </c>
      <c r="H155" s="158"/>
      <c r="I155" s="158"/>
      <c r="J155" s="134"/>
    </row>
    <row r="156" spans="1:10" ht="15" customHeight="1" x14ac:dyDescent="0.25">
      <c r="A156" s="65"/>
      <c r="B156" s="134"/>
      <c r="C156" s="134"/>
      <c r="D156" s="134"/>
      <c r="E156" s="66"/>
      <c r="F156" s="66"/>
      <c r="G156" s="170" t="str">
        <f t="shared" si="4"/>
        <v/>
      </c>
      <c r="H156" s="158"/>
      <c r="I156" s="158"/>
      <c r="J156" s="134"/>
    </row>
    <row r="157" spans="1:10" ht="15" customHeight="1" x14ac:dyDescent="0.25">
      <c r="A157" s="65"/>
      <c r="B157" s="134"/>
      <c r="C157" s="134"/>
      <c r="D157" s="134"/>
      <c r="E157" s="66"/>
      <c r="F157" s="66"/>
      <c r="G157" s="170" t="str">
        <f t="shared" si="4"/>
        <v/>
      </c>
      <c r="H157" s="158"/>
      <c r="I157" s="158"/>
      <c r="J157" s="134"/>
    </row>
    <row r="158" spans="1:10" ht="15" customHeight="1" x14ac:dyDescent="0.25">
      <c r="A158" s="65"/>
      <c r="B158" s="134"/>
      <c r="C158" s="134"/>
      <c r="D158" s="134"/>
      <c r="E158" s="66"/>
      <c r="F158" s="66"/>
      <c r="G158" s="170" t="str">
        <f t="shared" si="4"/>
        <v/>
      </c>
      <c r="H158" s="158"/>
      <c r="I158" s="158"/>
      <c r="J158" s="134"/>
    </row>
    <row r="159" spans="1:10" ht="15" customHeight="1" x14ac:dyDescent="0.25">
      <c r="A159" s="65"/>
      <c r="B159" s="134"/>
      <c r="C159" s="134"/>
      <c r="D159" s="134"/>
      <c r="E159" s="66"/>
      <c r="F159" s="66"/>
      <c r="G159" s="170" t="str">
        <f t="shared" si="4"/>
        <v/>
      </c>
      <c r="H159" s="158"/>
      <c r="I159" s="158"/>
      <c r="J159" s="134"/>
    </row>
    <row r="160" spans="1:10" ht="15" customHeight="1" x14ac:dyDescent="0.25">
      <c r="A160" s="65"/>
      <c r="B160" s="134"/>
      <c r="C160" s="134"/>
      <c r="D160" s="134"/>
      <c r="E160" s="66"/>
      <c r="F160" s="66"/>
      <c r="G160" s="170" t="str">
        <f t="shared" si="4"/>
        <v/>
      </c>
      <c r="H160" s="158"/>
      <c r="I160" s="158"/>
      <c r="J160" s="134"/>
    </row>
    <row r="161" spans="1:10" ht="15" customHeight="1" x14ac:dyDescent="0.25">
      <c r="A161" s="65"/>
      <c r="B161" s="134"/>
      <c r="C161" s="134"/>
      <c r="D161" s="134"/>
      <c r="E161" s="66"/>
      <c r="F161" s="66"/>
      <c r="G161" s="170" t="str">
        <f t="shared" si="4"/>
        <v/>
      </c>
      <c r="H161" s="158"/>
      <c r="I161" s="158"/>
      <c r="J161" s="134"/>
    </row>
    <row r="162" spans="1:10" ht="15" customHeight="1" x14ac:dyDescent="0.25">
      <c r="A162" s="65"/>
      <c r="B162" s="134"/>
      <c r="C162" s="134"/>
      <c r="D162" s="134"/>
      <c r="E162" s="66"/>
      <c r="F162" s="66"/>
      <c r="G162" s="170" t="str">
        <f t="shared" si="4"/>
        <v/>
      </c>
      <c r="H162" s="158"/>
      <c r="I162" s="158"/>
      <c r="J162" s="134"/>
    </row>
    <row r="163" spans="1:10" ht="15" customHeight="1" x14ac:dyDescent="0.25">
      <c r="A163" s="65"/>
      <c r="B163" s="134"/>
      <c r="C163" s="134"/>
      <c r="D163" s="134"/>
      <c r="E163" s="66"/>
      <c r="F163" s="66"/>
      <c r="G163" s="170" t="str">
        <f t="shared" ref="G163:G194" si="5">IFERROR(IF(OR(E163="",F163=""),"",(F163-E163)/E163),"")</f>
        <v/>
      </c>
      <c r="H163" s="158"/>
      <c r="I163" s="158"/>
      <c r="J163" s="134"/>
    </row>
    <row r="164" spans="1:10" ht="15" customHeight="1" x14ac:dyDescent="0.25">
      <c r="A164" s="65"/>
      <c r="B164" s="134"/>
      <c r="C164" s="134"/>
      <c r="D164" s="134"/>
      <c r="E164" s="66"/>
      <c r="F164" s="66"/>
      <c r="G164" s="170" t="str">
        <f t="shared" si="5"/>
        <v/>
      </c>
      <c r="H164" s="158"/>
      <c r="I164" s="158"/>
      <c r="J164" s="134"/>
    </row>
    <row r="165" spans="1:10" ht="15" customHeight="1" x14ac:dyDescent="0.25">
      <c r="A165" s="65"/>
      <c r="B165" s="134"/>
      <c r="C165" s="134"/>
      <c r="D165" s="134"/>
      <c r="E165" s="66"/>
      <c r="F165" s="66"/>
      <c r="G165" s="170" t="str">
        <f t="shared" si="5"/>
        <v/>
      </c>
      <c r="H165" s="158"/>
      <c r="I165" s="158"/>
      <c r="J165" s="134"/>
    </row>
    <row r="166" spans="1:10" ht="15" customHeight="1" x14ac:dyDescent="0.25">
      <c r="A166" s="65"/>
      <c r="B166" s="134"/>
      <c r="C166" s="134"/>
      <c r="D166" s="134"/>
      <c r="E166" s="66"/>
      <c r="F166" s="66"/>
      <c r="G166" s="170" t="str">
        <f t="shared" si="5"/>
        <v/>
      </c>
      <c r="H166" s="158"/>
      <c r="I166" s="158"/>
      <c r="J166" s="134"/>
    </row>
    <row r="167" spans="1:10" ht="15" customHeight="1" x14ac:dyDescent="0.25">
      <c r="A167" s="65"/>
      <c r="B167" s="134"/>
      <c r="C167" s="134"/>
      <c r="D167" s="134"/>
      <c r="E167" s="66"/>
      <c r="F167" s="66"/>
      <c r="G167" s="170" t="str">
        <f t="shared" si="5"/>
        <v/>
      </c>
      <c r="H167" s="158"/>
      <c r="I167" s="158"/>
      <c r="J167" s="134"/>
    </row>
    <row r="168" spans="1:10" ht="15" customHeight="1" x14ac:dyDescent="0.25">
      <c r="A168" s="65"/>
      <c r="B168" s="134"/>
      <c r="C168" s="134"/>
      <c r="D168" s="134"/>
      <c r="E168" s="66"/>
      <c r="F168" s="66"/>
      <c r="G168" s="170" t="str">
        <f t="shared" si="5"/>
        <v/>
      </c>
      <c r="H168" s="158"/>
      <c r="I168" s="158"/>
      <c r="J168" s="134"/>
    </row>
    <row r="169" spans="1:10" ht="15" customHeight="1" x14ac:dyDescent="0.25">
      <c r="A169" s="65"/>
      <c r="B169" s="134"/>
      <c r="C169" s="134"/>
      <c r="D169" s="134"/>
      <c r="E169" s="66"/>
      <c r="F169" s="66"/>
      <c r="G169" s="170" t="str">
        <f t="shared" si="5"/>
        <v/>
      </c>
      <c r="H169" s="158"/>
      <c r="I169" s="158"/>
      <c r="J169" s="134"/>
    </row>
    <row r="170" spans="1:10" ht="15" customHeight="1" x14ac:dyDescent="0.25">
      <c r="A170" s="65"/>
      <c r="B170" s="134"/>
      <c r="C170" s="134"/>
      <c r="D170" s="134"/>
      <c r="E170" s="66"/>
      <c r="F170" s="66"/>
      <c r="G170" s="170" t="str">
        <f t="shared" si="5"/>
        <v/>
      </c>
      <c r="H170" s="158"/>
      <c r="I170" s="158"/>
      <c r="J170" s="134"/>
    </row>
    <row r="171" spans="1:10" ht="15" customHeight="1" x14ac:dyDescent="0.25">
      <c r="A171" s="65"/>
      <c r="B171" s="134"/>
      <c r="C171" s="134"/>
      <c r="D171" s="134"/>
      <c r="E171" s="66"/>
      <c r="F171" s="66"/>
      <c r="G171" s="170" t="str">
        <f t="shared" si="5"/>
        <v/>
      </c>
      <c r="H171" s="158"/>
      <c r="I171" s="158"/>
      <c r="J171" s="134"/>
    </row>
    <row r="172" spans="1:10" ht="15" customHeight="1" x14ac:dyDescent="0.25">
      <c r="A172" s="65"/>
      <c r="B172" s="134"/>
      <c r="C172" s="134"/>
      <c r="D172" s="134"/>
      <c r="E172" s="66"/>
      <c r="F172" s="66"/>
      <c r="G172" s="170" t="str">
        <f t="shared" si="5"/>
        <v/>
      </c>
      <c r="H172" s="158"/>
      <c r="I172" s="158"/>
      <c r="J172" s="134"/>
    </row>
    <row r="173" spans="1:10" ht="15" customHeight="1" x14ac:dyDescent="0.25">
      <c r="A173" s="65"/>
      <c r="B173" s="134"/>
      <c r="C173" s="134"/>
      <c r="D173" s="134"/>
      <c r="E173" s="66"/>
      <c r="F173" s="66"/>
      <c r="G173" s="170" t="str">
        <f t="shared" si="5"/>
        <v/>
      </c>
      <c r="H173" s="158"/>
      <c r="I173" s="158"/>
      <c r="J173" s="134"/>
    </row>
    <row r="174" spans="1:10" ht="15" customHeight="1" x14ac:dyDescent="0.25">
      <c r="A174" s="65"/>
      <c r="B174" s="134"/>
      <c r="C174" s="134"/>
      <c r="D174" s="134"/>
      <c r="E174" s="66"/>
      <c r="F174" s="66"/>
      <c r="G174" s="170" t="str">
        <f t="shared" si="5"/>
        <v/>
      </c>
      <c r="H174" s="158"/>
      <c r="I174" s="158"/>
      <c r="J174" s="134"/>
    </row>
    <row r="175" spans="1:10" ht="15" customHeight="1" x14ac:dyDescent="0.25">
      <c r="A175" s="65"/>
      <c r="B175" s="134"/>
      <c r="C175" s="134"/>
      <c r="D175" s="134"/>
      <c r="E175" s="66"/>
      <c r="F175" s="66"/>
      <c r="G175" s="170" t="str">
        <f t="shared" si="5"/>
        <v/>
      </c>
      <c r="H175" s="158"/>
      <c r="I175" s="158"/>
      <c r="J175" s="134"/>
    </row>
    <row r="176" spans="1:10" ht="15" customHeight="1" x14ac:dyDescent="0.25">
      <c r="A176" s="65"/>
      <c r="B176" s="134"/>
      <c r="C176" s="134"/>
      <c r="D176" s="134"/>
      <c r="E176" s="66"/>
      <c r="F176" s="66"/>
      <c r="G176" s="170" t="str">
        <f t="shared" si="5"/>
        <v/>
      </c>
      <c r="H176" s="158"/>
      <c r="I176" s="158"/>
      <c r="J176" s="134"/>
    </row>
    <row r="177" spans="1:10" ht="15" customHeight="1" x14ac:dyDescent="0.25">
      <c r="A177" s="65"/>
      <c r="B177" s="134"/>
      <c r="C177" s="134"/>
      <c r="D177" s="134"/>
      <c r="E177" s="66"/>
      <c r="F177" s="66"/>
      <c r="G177" s="170" t="str">
        <f t="shared" si="5"/>
        <v/>
      </c>
      <c r="H177" s="158"/>
      <c r="I177" s="158"/>
      <c r="J177" s="134"/>
    </row>
    <row r="178" spans="1:10" ht="15" customHeight="1" x14ac:dyDescent="0.25">
      <c r="A178" s="65"/>
      <c r="B178" s="134"/>
      <c r="C178" s="134"/>
      <c r="D178" s="134"/>
      <c r="E178" s="66"/>
      <c r="F178" s="66"/>
      <c r="G178" s="170" t="str">
        <f t="shared" si="5"/>
        <v/>
      </c>
      <c r="H178" s="158"/>
      <c r="I178" s="158"/>
      <c r="J178" s="134"/>
    </row>
    <row r="179" spans="1:10" ht="15" customHeight="1" x14ac:dyDescent="0.25">
      <c r="A179" s="65"/>
      <c r="B179" s="134"/>
      <c r="C179" s="134"/>
      <c r="D179" s="134"/>
      <c r="E179" s="66"/>
      <c r="F179" s="66"/>
      <c r="G179" s="170" t="str">
        <f t="shared" si="5"/>
        <v/>
      </c>
      <c r="H179" s="158"/>
      <c r="I179" s="158"/>
      <c r="J179" s="134"/>
    </row>
    <row r="180" spans="1:10" ht="15" customHeight="1" x14ac:dyDescent="0.25">
      <c r="A180" s="65"/>
      <c r="B180" s="134"/>
      <c r="C180" s="134"/>
      <c r="D180" s="134"/>
      <c r="E180" s="66"/>
      <c r="F180" s="66"/>
      <c r="G180" s="170" t="str">
        <f t="shared" si="5"/>
        <v/>
      </c>
      <c r="H180" s="158"/>
      <c r="I180" s="158"/>
      <c r="J180" s="134"/>
    </row>
    <row r="181" spans="1:10" ht="15" customHeight="1" x14ac:dyDescent="0.25">
      <c r="A181" s="65"/>
      <c r="B181" s="134"/>
      <c r="C181" s="134"/>
      <c r="D181" s="134"/>
      <c r="E181" s="66"/>
      <c r="F181" s="66"/>
      <c r="G181" s="170" t="str">
        <f t="shared" si="5"/>
        <v/>
      </c>
      <c r="H181" s="158"/>
      <c r="I181" s="158"/>
      <c r="J181" s="134"/>
    </row>
    <row r="182" spans="1:10" ht="15" customHeight="1" x14ac:dyDescent="0.25">
      <c r="A182" s="65"/>
      <c r="B182" s="134"/>
      <c r="C182" s="134"/>
      <c r="D182" s="134"/>
      <c r="E182" s="66"/>
      <c r="F182" s="66"/>
      <c r="G182" s="170" t="str">
        <f t="shared" si="5"/>
        <v/>
      </c>
      <c r="H182" s="158"/>
      <c r="I182" s="158"/>
      <c r="J182" s="134"/>
    </row>
    <row r="183" spans="1:10" ht="15" customHeight="1" x14ac:dyDescent="0.25">
      <c r="A183" s="65"/>
      <c r="B183" s="134"/>
      <c r="C183" s="134"/>
      <c r="D183" s="134"/>
      <c r="E183" s="66"/>
      <c r="F183" s="66"/>
      <c r="G183" s="170" t="str">
        <f t="shared" si="5"/>
        <v/>
      </c>
      <c r="H183" s="158"/>
      <c r="I183" s="158"/>
      <c r="J183" s="134"/>
    </row>
    <row r="184" spans="1:10" ht="15" customHeight="1" x14ac:dyDescent="0.25">
      <c r="A184" s="65"/>
      <c r="B184" s="134"/>
      <c r="C184" s="134"/>
      <c r="D184" s="134"/>
      <c r="E184" s="66"/>
      <c r="F184" s="66"/>
      <c r="G184" s="170" t="str">
        <f t="shared" si="5"/>
        <v/>
      </c>
      <c r="H184" s="158"/>
      <c r="I184" s="158"/>
      <c r="J184" s="134"/>
    </row>
    <row r="185" spans="1:10" ht="15" customHeight="1" x14ac:dyDescent="0.25">
      <c r="A185" s="65"/>
      <c r="B185" s="134"/>
      <c r="C185" s="134"/>
      <c r="D185" s="134"/>
      <c r="E185" s="66"/>
      <c r="F185" s="66"/>
      <c r="G185" s="170" t="str">
        <f t="shared" si="5"/>
        <v/>
      </c>
      <c r="H185" s="158"/>
      <c r="I185" s="158"/>
      <c r="J185" s="134"/>
    </row>
    <row r="186" spans="1:10" ht="15" customHeight="1" x14ac:dyDescent="0.25">
      <c r="A186" s="65"/>
      <c r="B186" s="134"/>
      <c r="C186" s="134"/>
      <c r="D186" s="134"/>
      <c r="E186" s="66"/>
      <c r="F186" s="66"/>
      <c r="G186" s="170" t="str">
        <f t="shared" si="5"/>
        <v/>
      </c>
      <c r="H186" s="158"/>
      <c r="I186" s="158"/>
      <c r="J186" s="134"/>
    </row>
    <row r="187" spans="1:10" ht="15" customHeight="1" x14ac:dyDescent="0.25">
      <c r="A187" s="65"/>
      <c r="B187" s="134"/>
      <c r="C187" s="134"/>
      <c r="D187" s="134"/>
      <c r="E187" s="66"/>
      <c r="F187" s="66"/>
      <c r="G187" s="170" t="str">
        <f t="shared" si="5"/>
        <v/>
      </c>
      <c r="H187" s="158"/>
      <c r="I187" s="158"/>
      <c r="J187" s="134"/>
    </row>
    <row r="188" spans="1:10" ht="15" customHeight="1" x14ac:dyDescent="0.25">
      <c r="A188" s="65"/>
      <c r="B188" s="134"/>
      <c r="C188" s="134"/>
      <c r="D188" s="134"/>
      <c r="E188" s="66"/>
      <c r="F188" s="66"/>
      <c r="G188" s="170" t="str">
        <f t="shared" si="5"/>
        <v/>
      </c>
      <c r="H188" s="158"/>
      <c r="I188" s="158"/>
      <c r="J188" s="134"/>
    </row>
    <row r="189" spans="1:10" ht="15" customHeight="1" x14ac:dyDescent="0.25">
      <c r="A189" s="65"/>
      <c r="B189" s="134"/>
      <c r="C189" s="134"/>
      <c r="D189" s="134"/>
      <c r="E189" s="66"/>
      <c r="F189" s="66"/>
      <c r="G189" s="170" t="str">
        <f t="shared" si="5"/>
        <v/>
      </c>
      <c r="H189" s="158"/>
      <c r="I189" s="158"/>
      <c r="J189" s="134"/>
    </row>
    <row r="190" spans="1:10" ht="15" customHeight="1" x14ac:dyDescent="0.25">
      <c r="A190" s="65"/>
      <c r="B190" s="134"/>
      <c r="C190" s="134"/>
      <c r="D190" s="134"/>
      <c r="E190" s="66"/>
      <c r="F190" s="66"/>
      <c r="G190" s="170" t="str">
        <f t="shared" si="5"/>
        <v/>
      </c>
      <c r="H190" s="158"/>
      <c r="I190" s="158"/>
      <c r="J190" s="134"/>
    </row>
    <row r="191" spans="1:10" ht="15" customHeight="1" x14ac:dyDescent="0.25">
      <c r="A191" s="65"/>
      <c r="B191" s="134"/>
      <c r="C191" s="134"/>
      <c r="D191" s="134"/>
      <c r="E191" s="66"/>
      <c r="F191" s="66"/>
      <c r="G191" s="170" t="str">
        <f t="shared" si="5"/>
        <v/>
      </c>
      <c r="H191" s="158"/>
      <c r="I191" s="158"/>
      <c r="J191" s="134"/>
    </row>
    <row r="192" spans="1:10" ht="15" customHeight="1" x14ac:dyDescent="0.25">
      <c r="A192" s="65"/>
      <c r="B192" s="134"/>
      <c r="C192" s="134"/>
      <c r="D192" s="134"/>
      <c r="E192" s="66"/>
      <c r="F192" s="66"/>
      <c r="G192" s="170" t="str">
        <f t="shared" si="5"/>
        <v/>
      </c>
      <c r="H192" s="158"/>
      <c r="I192" s="158"/>
      <c r="J192" s="134"/>
    </row>
    <row r="193" spans="1:10" ht="15" customHeight="1" x14ac:dyDescent="0.25">
      <c r="A193" s="65"/>
      <c r="B193" s="134"/>
      <c r="C193" s="134"/>
      <c r="D193" s="134"/>
      <c r="E193" s="66"/>
      <c r="F193" s="66"/>
      <c r="G193" s="170" t="str">
        <f t="shared" si="5"/>
        <v/>
      </c>
      <c r="H193" s="158"/>
      <c r="I193" s="158"/>
      <c r="J193" s="134"/>
    </row>
    <row r="194" spans="1:10" ht="15" customHeight="1" x14ac:dyDescent="0.25">
      <c r="A194" s="65"/>
      <c r="B194" s="134"/>
      <c r="C194" s="134"/>
      <c r="D194" s="134"/>
      <c r="E194" s="66"/>
      <c r="F194" s="66"/>
      <c r="G194" s="170" t="str">
        <f t="shared" si="5"/>
        <v/>
      </c>
      <c r="H194" s="158"/>
      <c r="I194" s="158"/>
      <c r="J194" s="134"/>
    </row>
    <row r="195" spans="1:10" ht="15" customHeight="1" x14ac:dyDescent="0.25">
      <c r="A195" s="65"/>
      <c r="B195" s="134"/>
      <c r="C195" s="134"/>
      <c r="D195" s="134"/>
      <c r="E195" s="66"/>
      <c r="F195" s="66"/>
      <c r="G195" s="170" t="str">
        <f t="shared" ref="G195:G202" si="6">IFERROR(IF(OR(E195="",F195=""),"",(F195-E195)/E195),"")</f>
        <v/>
      </c>
      <c r="H195" s="158"/>
      <c r="I195" s="158"/>
      <c r="J195" s="134"/>
    </row>
    <row r="196" spans="1:10" ht="15" customHeight="1" x14ac:dyDescent="0.25">
      <c r="A196" s="65"/>
      <c r="B196" s="134"/>
      <c r="C196" s="134"/>
      <c r="D196" s="134"/>
      <c r="E196" s="66"/>
      <c r="F196" s="66"/>
      <c r="G196" s="170" t="str">
        <f t="shared" si="6"/>
        <v/>
      </c>
      <c r="H196" s="158"/>
      <c r="I196" s="158"/>
      <c r="J196" s="134"/>
    </row>
    <row r="197" spans="1:10" ht="15" customHeight="1" x14ac:dyDescent="0.25">
      <c r="A197" s="65"/>
      <c r="B197" s="134"/>
      <c r="C197" s="134"/>
      <c r="D197" s="134"/>
      <c r="E197" s="66"/>
      <c r="F197" s="66"/>
      <c r="G197" s="170" t="str">
        <f t="shared" si="6"/>
        <v/>
      </c>
      <c r="H197" s="158"/>
      <c r="I197" s="158"/>
      <c r="J197" s="134"/>
    </row>
    <row r="198" spans="1:10" ht="15" customHeight="1" x14ac:dyDescent="0.25">
      <c r="A198" s="65"/>
      <c r="B198" s="134"/>
      <c r="C198" s="134"/>
      <c r="D198" s="134"/>
      <c r="E198" s="66"/>
      <c r="F198" s="66"/>
      <c r="G198" s="170" t="str">
        <f t="shared" si="6"/>
        <v/>
      </c>
      <c r="H198" s="158"/>
      <c r="I198" s="158"/>
      <c r="J198" s="134"/>
    </row>
    <row r="199" spans="1:10" ht="15" customHeight="1" x14ac:dyDescent="0.25">
      <c r="A199" s="65"/>
      <c r="B199" s="134"/>
      <c r="C199" s="134"/>
      <c r="D199" s="134"/>
      <c r="E199" s="66"/>
      <c r="F199" s="66"/>
      <c r="G199" s="170" t="str">
        <f t="shared" si="6"/>
        <v/>
      </c>
      <c r="H199" s="158"/>
      <c r="I199" s="158"/>
      <c r="J199" s="134"/>
    </row>
    <row r="200" spans="1:10" ht="15" customHeight="1" x14ac:dyDescent="0.25">
      <c r="A200" s="65"/>
      <c r="B200" s="134"/>
      <c r="C200" s="134"/>
      <c r="D200" s="134"/>
      <c r="E200" s="66"/>
      <c r="F200" s="66"/>
      <c r="G200" s="170" t="str">
        <f t="shared" si="6"/>
        <v/>
      </c>
      <c r="H200" s="158"/>
      <c r="I200" s="158"/>
      <c r="J200" s="134"/>
    </row>
    <row r="201" spans="1:10" ht="15" customHeight="1" x14ac:dyDescent="0.25">
      <c r="A201" s="65"/>
      <c r="B201" s="134"/>
      <c r="C201" s="134"/>
      <c r="D201" s="134"/>
      <c r="E201" s="66"/>
      <c r="F201" s="66"/>
      <c r="G201" s="170" t="str">
        <f t="shared" si="6"/>
        <v/>
      </c>
      <c r="H201" s="158"/>
      <c r="I201" s="158"/>
      <c r="J201" s="134"/>
    </row>
    <row r="202" spans="1:10" ht="15" customHeight="1" x14ac:dyDescent="0.25">
      <c r="A202" s="65"/>
      <c r="B202" s="134"/>
      <c r="C202" s="134"/>
      <c r="D202" s="134"/>
      <c r="E202" s="66"/>
      <c r="F202" s="66"/>
      <c r="G202" s="170" t="str">
        <f t="shared" si="6"/>
        <v/>
      </c>
      <c r="H202" s="158"/>
      <c r="I202" s="158"/>
      <c r="J202" s="13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G3:G202">
    <cfRule type="cellIs" dxfId="1" priority="2" operator="greaterThan">
      <formula>0.05</formula>
    </cfRule>
    <cfRule type="cellIs" dxfId="0" priority="3" operator="lessThan">
      <formula>-0.02</formula>
    </cfRule>
  </conditionalFormatting>
  <dataValidations count="2">
    <dataValidation type="list" allowBlank="1" sqref="D3:D202" xr:uid="{00000000-0002-0000-2300-000000000000}">
      <formula1>"Material,Hardware"</formula1>
      <formula2>0</formula2>
    </dataValidation>
    <dataValidation type="list" allowBlank="1" sqref="I3:I202" xr:uid="{00000000-0002-0000-2300-000001000000}">
      <formula1>"Supplier_increase,Supplier_decrease,Currency_FX,New_supplier,Bulk_discount,Quality_upgrade,Seasonal,Other"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262626"/>
  </sheetPr>
  <dimension ref="A1:K56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14" customWidth="1"/>
    <col min="3" max="3" width="8" customWidth="1"/>
    <col min="4" max="4" width="60" customWidth="1"/>
    <col min="6" max="11" width="18" customWidth="1"/>
  </cols>
  <sheetData>
    <row r="1" spans="1:11" ht="30" customHeight="1" x14ac:dyDescent="0.25">
      <c r="A1" s="71" t="s">
        <v>1563</v>
      </c>
      <c r="B1" s="71"/>
      <c r="C1" s="71"/>
      <c r="D1" s="71"/>
      <c r="E1" s="61"/>
      <c r="F1" s="61"/>
      <c r="G1" s="61"/>
      <c r="H1" s="61"/>
      <c r="I1" s="61"/>
      <c r="J1" s="61"/>
      <c r="K1" s="61"/>
    </row>
    <row r="2" spans="1:11" ht="24" customHeight="1" x14ac:dyDescent="0.25">
      <c r="A2" s="112" t="s">
        <v>1564</v>
      </c>
      <c r="B2" s="112" t="s">
        <v>1565</v>
      </c>
      <c r="C2" s="112" t="s">
        <v>491</v>
      </c>
      <c r="D2" s="112" t="s">
        <v>801</v>
      </c>
      <c r="E2" s="61"/>
      <c r="F2" s="191" t="s">
        <v>1566</v>
      </c>
      <c r="G2" s="191" t="s">
        <v>1567</v>
      </c>
      <c r="H2" s="191" t="s">
        <v>1568</v>
      </c>
      <c r="I2" s="191" t="s">
        <v>1569</v>
      </c>
      <c r="J2" s="191" t="s">
        <v>1570</v>
      </c>
      <c r="K2" s="191" t="s">
        <v>1571</v>
      </c>
    </row>
    <row r="3" spans="1:11" ht="21.75" customHeight="1" x14ac:dyDescent="0.25">
      <c r="A3" s="192" t="s">
        <v>1572</v>
      </c>
      <c r="B3" s="192"/>
      <c r="C3" s="192"/>
      <c r="D3" s="192"/>
      <c r="E3" s="61"/>
      <c r="F3" s="61" t="s">
        <v>243</v>
      </c>
      <c r="G3" s="61" t="s">
        <v>127</v>
      </c>
      <c r="H3" s="61" t="s">
        <v>368</v>
      </c>
      <c r="I3" s="61" t="s">
        <v>468</v>
      </c>
      <c r="J3" s="61" t="s">
        <v>466</v>
      </c>
      <c r="K3" s="61" t="s">
        <v>688</v>
      </c>
    </row>
    <row r="4" spans="1:11" ht="15" customHeight="1" x14ac:dyDescent="0.25">
      <c r="A4" s="116" t="s">
        <v>978</v>
      </c>
      <c r="B4" s="102">
        <v>0.19</v>
      </c>
      <c r="C4" s="77" t="s">
        <v>1573</v>
      </c>
      <c r="D4" s="76" t="s">
        <v>1574</v>
      </c>
      <c r="E4" s="61"/>
      <c r="F4" s="61" t="s">
        <v>37</v>
      </c>
      <c r="G4" s="61" t="s">
        <v>356</v>
      </c>
      <c r="H4" s="61" t="s">
        <v>357</v>
      </c>
      <c r="I4" s="61" t="s">
        <v>382</v>
      </c>
      <c r="J4" s="61" t="s">
        <v>382</v>
      </c>
      <c r="K4" s="61" t="s">
        <v>1575</v>
      </c>
    </row>
    <row r="5" spans="1:11" ht="15" customHeight="1" x14ac:dyDescent="0.25">
      <c r="A5" s="116" t="s">
        <v>1576</v>
      </c>
      <c r="B5" s="102">
        <v>0.08</v>
      </c>
      <c r="C5" s="77" t="s">
        <v>1573</v>
      </c>
      <c r="D5" s="76" t="s">
        <v>1577</v>
      </c>
      <c r="E5" s="61"/>
      <c r="F5" s="61" t="s">
        <v>237</v>
      </c>
      <c r="G5" s="61" t="s">
        <v>351</v>
      </c>
      <c r="H5" s="61" t="s">
        <v>352</v>
      </c>
      <c r="I5" s="61" t="s">
        <v>470</v>
      </c>
      <c r="J5" s="61" t="s">
        <v>479</v>
      </c>
      <c r="K5" s="61"/>
    </row>
    <row r="6" spans="1:11" ht="15" customHeight="1" x14ac:dyDescent="0.25">
      <c r="A6" s="116" t="s">
        <v>1578</v>
      </c>
      <c r="B6" s="102">
        <v>0.15</v>
      </c>
      <c r="C6" s="77" t="s">
        <v>1573</v>
      </c>
      <c r="D6" s="76" t="s">
        <v>1579</v>
      </c>
      <c r="E6" s="61"/>
      <c r="F6" s="61" t="s">
        <v>259</v>
      </c>
      <c r="G6" s="61" t="s">
        <v>1580</v>
      </c>
      <c r="H6" s="61" t="s">
        <v>377</v>
      </c>
      <c r="I6" s="61" t="s">
        <v>469</v>
      </c>
      <c r="J6" s="61" t="s">
        <v>480</v>
      </c>
      <c r="K6" s="61"/>
    </row>
    <row r="7" spans="1:11" ht="15" customHeight="1" x14ac:dyDescent="0.25">
      <c r="A7" s="116" t="s">
        <v>1581</v>
      </c>
      <c r="B7" s="102">
        <v>0.35</v>
      </c>
      <c r="C7" s="77" t="s">
        <v>1573</v>
      </c>
      <c r="D7" s="76" t="s">
        <v>1582</v>
      </c>
      <c r="E7" s="61"/>
      <c r="F7" s="61" t="s">
        <v>366</v>
      </c>
      <c r="G7" s="61" t="s">
        <v>376</v>
      </c>
      <c r="H7" s="61"/>
      <c r="I7" s="61" t="s">
        <v>471</v>
      </c>
      <c r="J7" s="61" t="s">
        <v>467</v>
      </c>
      <c r="K7" s="61"/>
    </row>
    <row r="8" spans="1:11" ht="15" customHeight="1" x14ac:dyDescent="0.25">
      <c r="A8" s="116" t="s">
        <v>1583</v>
      </c>
      <c r="B8" s="102">
        <v>0.28000000000000003</v>
      </c>
      <c r="C8" s="77" t="s">
        <v>1573</v>
      </c>
      <c r="D8" s="76" t="s">
        <v>1584</v>
      </c>
      <c r="E8" s="61"/>
      <c r="F8" s="61" t="s">
        <v>249</v>
      </c>
      <c r="G8" s="61" t="s">
        <v>362</v>
      </c>
      <c r="H8" s="61"/>
      <c r="I8" s="61" t="s">
        <v>472</v>
      </c>
      <c r="J8" s="61" t="s">
        <v>469</v>
      </c>
      <c r="K8" s="61"/>
    </row>
    <row r="9" spans="1:11" ht="15" customHeight="1" x14ac:dyDescent="0.25">
      <c r="A9" s="116" t="s">
        <v>1585</v>
      </c>
      <c r="B9" s="102">
        <v>0.1</v>
      </c>
      <c r="C9" s="77" t="s">
        <v>1573</v>
      </c>
      <c r="D9" s="76" t="s">
        <v>1586</v>
      </c>
      <c r="E9" s="61"/>
      <c r="F9" s="61" t="s">
        <v>51</v>
      </c>
      <c r="G9" s="61" t="s">
        <v>1587</v>
      </c>
      <c r="H9" s="61"/>
      <c r="I9" s="61" t="s">
        <v>473</v>
      </c>
      <c r="J9" s="61" t="s">
        <v>470</v>
      </c>
      <c r="K9" s="61"/>
    </row>
    <row r="10" spans="1:11" ht="15" customHeight="1" x14ac:dyDescent="0.25">
      <c r="A10" s="116" t="s">
        <v>1588</v>
      </c>
      <c r="B10" s="102">
        <v>0.4</v>
      </c>
      <c r="C10" s="77" t="s">
        <v>1573</v>
      </c>
      <c r="D10" s="76" t="s">
        <v>1589</v>
      </c>
      <c r="E10" s="61"/>
      <c r="F10" s="61"/>
      <c r="G10" s="61" t="s">
        <v>367</v>
      </c>
      <c r="H10" s="61"/>
      <c r="I10" s="61" t="s">
        <v>475</v>
      </c>
      <c r="J10" s="61" t="s">
        <v>471</v>
      </c>
      <c r="K10" s="61"/>
    </row>
    <row r="11" spans="1:11" ht="15" customHeight="1" x14ac:dyDescent="0.25">
      <c r="A11" s="116" t="s">
        <v>1590</v>
      </c>
      <c r="B11" s="78">
        <v>30</v>
      </c>
      <c r="C11" s="77" t="s">
        <v>1591</v>
      </c>
      <c r="D11" s="76" t="s">
        <v>1592</v>
      </c>
      <c r="E11" s="61"/>
      <c r="F11" s="61"/>
      <c r="G11" s="61" t="s">
        <v>390</v>
      </c>
      <c r="H11" s="61"/>
      <c r="I11" s="61" t="s">
        <v>476</v>
      </c>
      <c r="J11" s="61" t="s">
        <v>472</v>
      </c>
      <c r="K11" s="61"/>
    </row>
    <row r="12" spans="1:11" ht="21.75" customHeight="1" x14ac:dyDescent="0.25">
      <c r="A12" s="192" t="s">
        <v>1593</v>
      </c>
      <c r="B12" s="192"/>
      <c r="C12" s="192"/>
      <c r="D12" s="192"/>
      <c r="E12" s="61"/>
      <c r="F12" s="61"/>
      <c r="G12" s="61" t="s">
        <v>1594</v>
      </c>
      <c r="H12" s="61"/>
      <c r="I12" s="61" t="s">
        <v>477</v>
      </c>
      <c r="J12" s="61" t="s">
        <v>473</v>
      </c>
      <c r="K12" s="61"/>
    </row>
    <row r="13" spans="1:11" ht="15" customHeight="1" x14ac:dyDescent="0.25">
      <c r="A13" s="116" t="s">
        <v>1595</v>
      </c>
      <c r="B13" s="100">
        <v>22</v>
      </c>
      <c r="C13" s="77" t="s">
        <v>603</v>
      </c>
      <c r="D13" s="76" t="s">
        <v>1596</v>
      </c>
      <c r="E13" s="61"/>
      <c r="F13" s="61"/>
      <c r="G13" s="61"/>
      <c r="H13" s="61"/>
      <c r="I13" s="61" t="s">
        <v>478</v>
      </c>
      <c r="J13" s="61" t="s">
        <v>474</v>
      </c>
      <c r="K13" s="61"/>
    </row>
    <row r="14" spans="1:11" ht="15" customHeight="1" x14ac:dyDescent="0.25">
      <c r="A14" s="116" t="s">
        <v>1597</v>
      </c>
      <c r="B14" s="100">
        <v>18</v>
      </c>
      <c r="C14" s="77" t="s">
        <v>603</v>
      </c>
      <c r="D14" s="76" t="s">
        <v>523</v>
      </c>
      <c r="E14" s="61"/>
      <c r="F14" s="61"/>
      <c r="G14" s="61"/>
      <c r="H14" s="61"/>
      <c r="I14" s="61" t="s">
        <v>527</v>
      </c>
      <c r="J14" s="61" t="s">
        <v>476</v>
      </c>
      <c r="K14" s="61"/>
    </row>
    <row r="15" spans="1:11" ht="15" customHeight="1" x14ac:dyDescent="0.25">
      <c r="A15" s="116" t="s">
        <v>1598</v>
      </c>
      <c r="B15" s="100">
        <v>20</v>
      </c>
      <c r="C15" s="77" t="s">
        <v>603</v>
      </c>
      <c r="D15" s="76" t="s">
        <v>1599</v>
      </c>
      <c r="E15" s="61"/>
      <c r="F15" s="61"/>
      <c r="G15" s="61"/>
      <c r="H15" s="61"/>
      <c r="I15" s="61"/>
      <c r="J15" s="61" t="s">
        <v>477</v>
      </c>
      <c r="K15" s="61"/>
    </row>
    <row r="16" spans="1:11" ht="15" customHeight="1" x14ac:dyDescent="0.25">
      <c r="A16" s="116" t="s">
        <v>1600</v>
      </c>
      <c r="B16" s="100">
        <v>16</v>
      </c>
      <c r="C16" s="77" t="s">
        <v>603</v>
      </c>
      <c r="D16" s="76" t="s">
        <v>1601</v>
      </c>
      <c r="E16" s="61"/>
      <c r="F16" s="61"/>
      <c r="G16" s="61"/>
      <c r="H16" s="61"/>
      <c r="I16" s="61"/>
      <c r="J16" s="61" t="s">
        <v>478</v>
      </c>
      <c r="K16" s="61"/>
    </row>
    <row r="17" spans="1:11" ht="15" customHeight="1" x14ac:dyDescent="0.25">
      <c r="A17" s="116" t="s">
        <v>1602</v>
      </c>
      <c r="B17" s="100">
        <v>16</v>
      </c>
      <c r="C17" s="77" t="s">
        <v>603</v>
      </c>
      <c r="D17" s="76" t="s">
        <v>471</v>
      </c>
      <c r="E17" s="61"/>
      <c r="F17" s="61"/>
      <c r="G17" s="61"/>
      <c r="H17" s="61"/>
      <c r="I17" s="61"/>
      <c r="J17" s="61" t="s">
        <v>1603</v>
      </c>
      <c r="K17" s="61"/>
    </row>
    <row r="18" spans="1:11" ht="15" customHeight="1" x14ac:dyDescent="0.25">
      <c r="A18" s="116" t="s">
        <v>1604</v>
      </c>
      <c r="B18" s="100">
        <v>17</v>
      </c>
      <c r="C18" s="77" t="s">
        <v>603</v>
      </c>
      <c r="D18" s="76" t="s">
        <v>472</v>
      </c>
      <c r="E18" s="61"/>
      <c r="F18" s="61"/>
      <c r="G18" s="61"/>
      <c r="H18" s="61"/>
      <c r="I18" s="61"/>
      <c r="J18" s="61"/>
      <c r="K18" s="61"/>
    </row>
    <row r="19" spans="1:11" ht="15" customHeight="1" x14ac:dyDescent="0.25">
      <c r="A19" s="116" t="s">
        <v>1605</v>
      </c>
      <c r="B19" s="100">
        <v>15</v>
      </c>
      <c r="C19" s="77" t="s">
        <v>603</v>
      </c>
      <c r="D19" s="76" t="s">
        <v>473</v>
      </c>
      <c r="E19" s="61"/>
      <c r="F19" s="61"/>
      <c r="G19" s="61"/>
      <c r="H19" s="61"/>
      <c r="I19" s="61"/>
      <c r="J19" s="61"/>
      <c r="K19" s="61"/>
    </row>
    <row r="20" spans="1:11" ht="15" customHeight="1" x14ac:dyDescent="0.25">
      <c r="A20" s="116" t="s">
        <v>1606</v>
      </c>
      <c r="B20" s="100">
        <v>19</v>
      </c>
      <c r="C20" s="77" t="s">
        <v>603</v>
      </c>
      <c r="D20" s="76" t="s">
        <v>524</v>
      </c>
      <c r="E20" s="61"/>
      <c r="F20" s="61"/>
      <c r="G20" s="61"/>
      <c r="H20" s="61"/>
      <c r="I20" s="61"/>
      <c r="J20" s="61"/>
      <c r="K20" s="61"/>
    </row>
    <row r="21" spans="1:11" ht="15" customHeight="1" x14ac:dyDescent="0.25">
      <c r="A21" s="116" t="s">
        <v>1607</v>
      </c>
      <c r="B21" s="100">
        <v>14</v>
      </c>
      <c r="C21" s="77" t="s">
        <v>603</v>
      </c>
      <c r="D21" s="76" t="s">
        <v>525</v>
      </c>
      <c r="E21" s="61"/>
      <c r="F21" s="61"/>
      <c r="G21" s="61"/>
      <c r="H21" s="61"/>
      <c r="I21" s="61"/>
      <c r="J21" s="61"/>
      <c r="K21" s="61"/>
    </row>
    <row r="22" spans="1:11" ht="15" customHeight="1" x14ac:dyDescent="0.25">
      <c r="A22" s="116" t="s">
        <v>1608</v>
      </c>
      <c r="B22" s="100">
        <v>20</v>
      </c>
      <c r="C22" s="77" t="s">
        <v>603</v>
      </c>
      <c r="D22" s="76" t="s">
        <v>1609</v>
      </c>
      <c r="E22" s="61"/>
      <c r="F22" s="61"/>
      <c r="G22" s="61"/>
      <c r="H22" s="61"/>
      <c r="I22" s="61"/>
      <c r="J22" s="61"/>
      <c r="K22" s="61"/>
    </row>
    <row r="23" spans="1:11" ht="15" customHeight="1" x14ac:dyDescent="0.25">
      <c r="A23" s="116" t="s">
        <v>1610</v>
      </c>
      <c r="B23" s="100">
        <v>28</v>
      </c>
      <c r="C23" s="77" t="s">
        <v>603</v>
      </c>
      <c r="D23" s="76" t="s">
        <v>1611</v>
      </c>
      <c r="E23" s="61"/>
      <c r="F23" s="61"/>
      <c r="G23" s="61"/>
      <c r="H23" s="61"/>
      <c r="I23" s="61"/>
      <c r="J23" s="61"/>
      <c r="K23" s="61"/>
    </row>
    <row r="24" spans="1:11" ht="15" customHeight="1" x14ac:dyDescent="0.25">
      <c r="A24" s="116" t="s">
        <v>1612</v>
      </c>
      <c r="B24" s="78">
        <v>1.5</v>
      </c>
      <c r="C24" s="77" t="s">
        <v>574</v>
      </c>
      <c r="D24" s="76" t="s">
        <v>1613</v>
      </c>
      <c r="E24" s="61"/>
      <c r="F24" s="61"/>
      <c r="G24" s="61"/>
      <c r="H24" s="61"/>
      <c r="I24" s="61"/>
      <c r="J24" s="61"/>
      <c r="K24" s="61"/>
    </row>
    <row r="25" spans="1:11" ht="21.75" customHeight="1" x14ac:dyDescent="0.25">
      <c r="A25" s="192" t="s">
        <v>1614</v>
      </c>
      <c r="B25" s="192"/>
      <c r="C25" s="192"/>
      <c r="D25" s="192"/>
      <c r="E25" s="61"/>
      <c r="F25" s="61"/>
      <c r="G25" s="61"/>
      <c r="H25" s="61"/>
      <c r="I25" s="61"/>
      <c r="J25" s="61"/>
      <c r="K25" s="61"/>
    </row>
    <row r="26" spans="1:11" ht="15" customHeight="1" x14ac:dyDescent="0.25">
      <c r="A26" s="116" t="s">
        <v>1615</v>
      </c>
      <c r="B26" s="100">
        <v>0.18</v>
      </c>
      <c r="C26" s="77" t="s">
        <v>1616</v>
      </c>
      <c r="D26" s="76" t="s">
        <v>1617</v>
      </c>
      <c r="E26" s="61"/>
      <c r="F26" s="61"/>
      <c r="G26" s="61"/>
      <c r="H26" s="61"/>
      <c r="I26" s="61"/>
      <c r="J26" s="61"/>
      <c r="K26" s="61"/>
    </row>
    <row r="27" spans="1:11" ht="15" customHeight="1" x14ac:dyDescent="0.25">
      <c r="A27" s="116" t="s">
        <v>1618</v>
      </c>
      <c r="B27" s="100">
        <v>60</v>
      </c>
      <c r="C27" s="77" t="s">
        <v>589</v>
      </c>
      <c r="D27" s="76" t="s">
        <v>1619</v>
      </c>
      <c r="E27" s="61"/>
      <c r="F27" s="61"/>
      <c r="G27" s="61"/>
      <c r="H27" s="61"/>
      <c r="I27" s="61"/>
      <c r="J27" s="61"/>
      <c r="K27" s="61"/>
    </row>
    <row r="28" spans="1:11" ht="15" customHeight="1" x14ac:dyDescent="0.25">
      <c r="A28" s="116" t="s">
        <v>1620</v>
      </c>
      <c r="B28" s="100">
        <v>80</v>
      </c>
      <c r="C28" s="77" t="s">
        <v>589</v>
      </c>
      <c r="D28" s="76" t="s">
        <v>1621</v>
      </c>
      <c r="E28" s="61"/>
      <c r="F28" s="61"/>
      <c r="G28" s="61"/>
      <c r="H28" s="61"/>
      <c r="I28" s="61"/>
      <c r="J28" s="61"/>
      <c r="K28" s="61"/>
    </row>
    <row r="29" spans="1:11" ht="15" customHeight="1" x14ac:dyDescent="0.25">
      <c r="A29" s="116" t="s">
        <v>1622</v>
      </c>
      <c r="B29" s="78">
        <v>1.1499999999999999</v>
      </c>
      <c r="C29" s="77" t="s">
        <v>574</v>
      </c>
      <c r="D29" s="76" t="s">
        <v>1623</v>
      </c>
      <c r="E29" s="61"/>
      <c r="F29" s="61"/>
      <c r="G29" s="61"/>
      <c r="H29" s="61"/>
      <c r="I29" s="61"/>
      <c r="J29" s="61"/>
      <c r="K29" s="61"/>
    </row>
    <row r="30" spans="1:11" ht="21.75" customHeight="1" x14ac:dyDescent="0.25">
      <c r="A30" s="192" t="s">
        <v>1624</v>
      </c>
      <c r="B30" s="192"/>
      <c r="C30" s="192"/>
      <c r="D30" s="192"/>
      <c r="E30" s="61"/>
      <c r="F30" s="61"/>
      <c r="G30" s="61"/>
      <c r="H30" s="61"/>
      <c r="I30" s="61"/>
      <c r="J30" s="61"/>
      <c r="K30" s="61"/>
    </row>
    <row r="31" spans="1:11" ht="15" customHeight="1" x14ac:dyDescent="0.25">
      <c r="A31" s="116" t="s">
        <v>1625</v>
      </c>
      <c r="B31" s="78">
        <v>1.1000000000000001</v>
      </c>
      <c r="C31" s="77" t="s">
        <v>574</v>
      </c>
      <c r="D31" s="76" t="s">
        <v>1626</v>
      </c>
      <c r="E31" s="61"/>
      <c r="F31" s="61"/>
      <c r="G31" s="61"/>
      <c r="H31" s="61"/>
      <c r="I31" s="61"/>
      <c r="J31" s="61"/>
      <c r="K31" s="61"/>
    </row>
    <row r="32" spans="1:11" ht="15" customHeight="1" x14ac:dyDescent="0.25">
      <c r="A32" s="116" t="s">
        <v>1627</v>
      </c>
      <c r="B32" s="78">
        <v>1.25</v>
      </c>
      <c r="C32" s="77" t="s">
        <v>574</v>
      </c>
      <c r="D32" s="76" t="s">
        <v>37</v>
      </c>
      <c r="E32" s="61"/>
      <c r="F32" s="61"/>
      <c r="G32" s="61"/>
      <c r="H32" s="61"/>
      <c r="I32" s="61"/>
      <c r="J32" s="61"/>
      <c r="K32" s="61"/>
    </row>
    <row r="33" spans="1:11" ht="15" customHeight="1" x14ac:dyDescent="0.25">
      <c r="A33" s="116" t="s">
        <v>1628</v>
      </c>
      <c r="B33" s="78">
        <v>1.2</v>
      </c>
      <c r="C33" s="77" t="s">
        <v>574</v>
      </c>
      <c r="D33" s="76" t="s">
        <v>237</v>
      </c>
      <c r="E33" s="61"/>
      <c r="F33" s="61"/>
      <c r="G33" s="61"/>
      <c r="H33" s="61"/>
      <c r="I33" s="61"/>
      <c r="J33" s="61"/>
      <c r="K33" s="61"/>
    </row>
    <row r="34" spans="1:11" ht="15" customHeight="1" x14ac:dyDescent="0.25">
      <c r="A34" s="116" t="s">
        <v>1629</v>
      </c>
      <c r="B34" s="78">
        <v>1.05</v>
      </c>
      <c r="C34" s="77" t="s">
        <v>574</v>
      </c>
      <c r="D34" s="76" t="s">
        <v>259</v>
      </c>
      <c r="E34" s="61"/>
      <c r="F34" s="61"/>
      <c r="G34" s="61"/>
      <c r="H34" s="61"/>
      <c r="I34" s="61"/>
      <c r="J34" s="61"/>
      <c r="K34" s="61"/>
    </row>
    <row r="35" spans="1:11" ht="15" customHeight="1" x14ac:dyDescent="0.25">
      <c r="A35" s="116" t="s">
        <v>1630</v>
      </c>
      <c r="B35" s="78">
        <v>1.05</v>
      </c>
      <c r="C35" s="77" t="s">
        <v>574</v>
      </c>
      <c r="D35" s="76" t="s">
        <v>366</v>
      </c>
      <c r="E35" s="61"/>
      <c r="F35" s="61"/>
      <c r="G35" s="61"/>
      <c r="H35" s="61"/>
      <c r="I35" s="61"/>
      <c r="J35" s="61"/>
      <c r="K35" s="61"/>
    </row>
    <row r="36" spans="1:11" ht="15" customHeight="1" x14ac:dyDescent="0.25">
      <c r="A36" s="116" t="s">
        <v>1631</v>
      </c>
      <c r="B36" s="78">
        <v>1.3</v>
      </c>
      <c r="C36" s="77" t="s">
        <v>574</v>
      </c>
      <c r="D36" s="76" t="s">
        <v>1632</v>
      </c>
      <c r="E36" s="61"/>
      <c r="F36" s="61"/>
      <c r="G36" s="61"/>
      <c r="H36" s="61"/>
      <c r="I36" s="61"/>
      <c r="J36" s="61"/>
      <c r="K36" s="61"/>
    </row>
    <row r="37" spans="1:11" ht="15" customHeight="1" x14ac:dyDescent="0.25">
      <c r="A37" s="116" t="s">
        <v>1633</v>
      </c>
      <c r="B37" s="78">
        <v>1.1499999999999999</v>
      </c>
      <c r="C37" s="77" t="s">
        <v>574</v>
      </c>
      <c r="D37" s="76" t="s">
        <v>51</v>
      </c>
      <c r="E37" s="61"/>
      <c r="F37" s="61"/>
      <c r="G37" s="61"/>
      <c r="H37" s="61"/>
      <c r="I37" s="61"/>
      <c r="J37" s="61"/>
      <c r="K37" s="61"/>
    </row>
    <row r="38" spans="1:11" ht="21.75" customHeight="1" x14ac:dyDescent="0.25">
      <c r="A38" s="192" t="s">
        <v>1634</v>
      </c>
      <c r="B38" s="192"/>
      <c r="C38" s="192"/>
      <c r="D38" s="192"/>
      <c r="E38" s="61"/>
      <c r="F38" s="61"/>
      <c r="G38" s="61"/>
      <c r="H38" s="61"/>
      <c r="I38" s="61"/>
      <c r="J38" s="61"/>
      <c r="K38" s="61"/>
    </row>
    <row r="39" spans="1:11" ht="15" customHeight="1" x14ac:dyDescent="0.25">
      <c r="A39" s="116" t="s">
        <v>1635</v>
      </c>
      <c r="B39" s="78">
        <v>1</v>
      </c>
      <c r="C39" s="77" t="s">
        <v>574</v>
      </c>
      <c r="D39" s="76"/>
      <c r="E39" s="61"/>
      <c r="F39" s="61"/>
      <c r="G39" s="61"/>
      <c r="H39" s="61"/>
      <c r="I39" s="61"/>
      <c r="J39" s="61"/>
      <c r="K39" s="61"/>
    </row>
    <row r="40" spans="1:11" ht="15" customHeight="1" x14ac:dyDescent="0.25">
      <c r="A40" s="116" t="s">
        <v>1636</v>
      </c>
      <c r="B40" s="78">
        <v>1</v>
      </c>
      <c r="C40" s="77" t="s">
        <v>574</v>
      </c>
      <c r="D40" s="76"/>
      <c r="E40" s="61"/>
      <c r="F40" s="61"/>
      <c r="G40" s="61"/>
      <c r="H40" s="61"/>
      <c r="I40" s="61"/>
      <c r="J40" s="61"/>
      <c r="K40" s="61"/>
    </row>
    <row r="41" spans="1:11" ht="15" customHeight="1" x14ac:dyDescent="0.25">
      <c r="A41" s="116" t="s">
        <v>1637</v>
      </c>
      <c r="B41" s="78">
        <v>1</v>
      </c>
      <c r="C41" s="77" t="s">
        <v>574</v>
      </c>
      <c r="D41" s="76"/>
      <c r="E41" s="61"/>
      <c r="F41" s="61"/>
      <c r="G41" s="61"/>
      <c r="H41" s="61"/>
      <c r="I41" s="61"/>
      <c r="J41" s="61"/>
      <c r="K41" s="61"/>
    </row>
    <row r="42" spans="1:11" ht="15" customHeight="1" x14ac:dyDescent="0.25">
      <c r="A42" s="116" t="s">
        <v>1638</v>
      </c>
      <c r="B42" s="78">
        <v>1</v>
      </c>
      <c r="C42" s="77" t="s">
        <v>574</v>
      </c>
      <c r="D42" s="76"/>
      <c r="E42" s="61"/>
      <c r="F42" s="61"/>
      <c r="G42" s="61"/>
      <c r="H42" s="61"/>
      <c r="I42" s="61"/>
      <c r="J42" s="61"/>
      <c r="K42" s="61"/>
    </row>
    <row r="43" spans="1:11" ht="15" customHeight="1" x14ac:dyDescent="0.25">
      <c r="A43" s="116" t="s">
        <v>1639</v>
      </c>
      <c r="B43" s="78">
        <v>1</v>
      </c>
      <c r="C43" s="77" t="s">
        <v>574</v>
      </c>
      <c r="D43" s="76"/>
      <c r="E43" s="61"/>
      <c r="F43" s="61"/>
      <c r="G43" s="61"/>
      <c r="H43" s="61"/>
      <c r="I43" s="61"/>
      <c r="J43" s="61"/>
      <c r="K43" s="61"/>
    </row>
    <row r="44" spans="1:11" ht="15" customHeight="1" x14ac:dyDescent="0.25">
      <c r="A44" s="116" t="s">
        <v>1640</v>
      </c>
      <c r="B44" s="78">
        <v>1</v>
      </c>
      <c r="C44" s="77" t="s">
        <v>574</v>
      </c>
      <c r="D44" s="76"/>
      <c r="E44" s="61"/>
      <c r="F44" s="61"/>
      <c r="G44" s="61"/>
      <c r="H44" s="61"/>
      <c r="I44" s="61"/>
      <c r="J44" s="61"/>
      <c r="K44" s="61"/>
    </row>
    <row r="45" spans="1:11" ht="15" customHeight="1" x14ac:dyDescent="0.25">
      <c r="A45" s="116" t="s">
        <v>1641</v>
      </c>
      <c r="B45" s="78">
        <v>1.1000000000000001</v>
      </c>
      <c r="C45" s="77" t="s">
        <v>574</v>
      </c>
      <c r="D45" s="76" t="s">
        <v>1642</v>
      </c>
      <c r="E45" s="61"/>
      <c r="F45" s="61"/>
      <c r="G45" s="61"/>
      <c r="H45" s="61"/>
      <c r="I45" s="61"/>
      <c r="J45" s="61"/>
      <c r="K45" s="61"/>
    </row>
    <row r="46" spans="1:11" ht="15" customHeight="1" x14ac:dyDescent="0.25">
      <c r="A46" s="116" t="s">
        <v>1643</v>
      </c>
      <c r="B46" s="78">
        <v>1</v>
      </c>
      <c r="C46" s="77" t="s">
        <v>574</v>
      </c>
      <c r="D46" s="76"/>
      <c r="E46" s="61"/>
      <c r="F46" s="61"/>
      <c r="G46" s="61"/>
      <c r="H46" s="61"/>
      <c r="I46" s="61"/>
      <c r="J46" s="61"/>
      <c r="K46" s="61"/>
    </row>
    <row r="47" spans="1:11" ht="21.75" customHeight="1" x14ac:dyDescent="0.25">
      <c r="A47" s="192" t="s">
        <v>1644</v>
      </c>
      <c r="B47" s="192"/>
      <c r="C47" s="192"/>
      <c r="D47" s="192"/>
      <c r="E47" s="61"/>
      <c r="F47" s="61"/>
      <c r="G47" s="61"/>
      <c r="H47" s="61"/>
      <c r="I47" s="61"/>
      <c r="J47" s="61"/>
      <c r="K47" s="61"/>
    </row>
    <row r="48" spans="1:11" ht="26.25" customHeight="1" x14ac:dyDescent="0.25">
      <c r="A48" s="116" t="s">
        <v>1645</v>
      </c>
      <c r="B48" s="93" t="inlineStr">
        <is>
          <t>Kefalas Ltd</t>
        </is>
      </c>
      <c r="C48" s="77"/>
      <c r="D48" s="76" t="s">
        <v>1647</v>
      </c>
      <c r="E48" s="61"/>
      <c r="F48" s="61"/>
      <c r="G48" s="61"/>
      <c r="H48" s="61"/>
      <c r="I48" s="61"/>
      <c r="J48" s="61"/>
      <c r="K48" s="61"/>
    </row>
    <row r="49" spans="1:11" ht="26.25" customHeight="1" x14ac:dyDescent="0.25">
      <c r="A49" s="116" t="s">
        <v>1648</v>
      </c>
      <c r="B49" s="93" t="inlineStr">
        <is>
          <t>Industrial Zone, Cyprus</t>
        </is>
      </c>
      <c r="C49" s="77"/>
      <c r="D49" s="76" t="s">
        <v>1650</v>
      </c>
      <c r="E49" s="61"/>
      <c r="F49" s="61"/>
      <c r="G49" s="61"/>
      <c r="H49" s="61"/>
      <c r="I49" s="61"/>
      <c r="J49" s="61"/>
      <c r="K49" s="61"/>
    </row>
    <row r="50" spans="1:11" ht="26.25" customHeight="1" x14ac:dyDescent="0.25">
      <c r="A50" s="116" t="s">
        <v>1651</v>
      </c>
      <c r="B50" s="93" t="inlineStr">
        <is>
          <t>+357 00 000000</t>
        </is>
      </c>
      <c r="C50" s="77"/>
      <c r="D50" s="76"/>
      <c r="E50" s="61"/>
      <c r="F50" s="61"/>
      <c r="G50" s="61"/>
      <c r="H50" s="61"/>
      <c r="I50" s="61"/>
      <c r="J50" s="61"/>
      <c r="K50" s="61"/>
    </row>
    <row r="51" spans="1:11" ht="26.25" customHeight="1" x14ac:dyDescent="0.25">
      <c r="A51" s="116" t="s">
        <v>1653</v>
      </c>
      <c r="B51" s="93" t="inlineStr">
        <is>
          <t>info@yourjoinery.com</t>
        </is>
      </c>
      <c r="C51" s="77"/>
      <c r="D51" s="76"/>
      <c r="E51" s="61"/>
      <c r="F51" s="61"/>
      <c r="G51" s="61"/>
      <c r="H51" s="61"/>
      <c r="I51" s="61"/>
      <c r="J51" s="61"/>
      <c r="K51" s="61"/>
    </row>
    <row r="52" spans="1:11" ht="26.25" customHeight="1" x14ac:dyDescent="0.25">
      <c r="A52" s="116" t="s">
        <v>1655</v>
      </c>
      <c r="B52" s="93" t="inlineStr">
        <is>
          <t>cy218239120o</t>
        </is>
      </c>
      <c r="C52" s="77"/>
      <c r="D52" s="76" t="s">
        <v>1657</v>
      </c>
      <c r="E52" s="61"/>
      <c r="F52" s="61"/>
      <c r="G52" s="61"/>
      <c r="H52" s="61"/>
      <c r="I52" s="61"/>
      <c r="J52" s="61"/>
      <c r="K52" s="61"/>
    </row>
    <row r="53" spans="1:11" ht="15" customHeight="1" x14ac:dyDescent="0.25">
      <c r="A53" s="116" t="s">
        <v>1658</v>
      </c>
      <c r="B53" s="93" t="inlineStr">
        <is>
          <t>EUR</t>
        </is>
      </c>
      <c r="C53" s="77"/>
      <c r="D53" s="76" t="s">
        <v>1659</v>
      </c>
      <c r="E53" s="61"/>
      <c r="F53" s="61"/>
      <c r="G53" s="61"/>
      <c r="H53" s="61"/>
      <c r="I53" s="61"/>
      <c r="J53" s="61"/>
      <c r="K53" s="61"/>
    </row>
    <row r="54">
      <c r="A54" s="116" t="inlineStr">
        <is>
          <t>Co_IBAN</t>
        </is>
      </c>
    </row>
    <row r="55">
      <c r="A55" s="116" t="inlineStr">
        <is>
          <t>KBS_Users</t>
        </is>
      </c>
      <c r="B55" s="93" t="inlineStr">
        <is>
          <t>[{"name":"Petros","role":"admin","salt":"488e8ab89bd964e2","hash":"fa924ced7d4070cc365296dbbeb99698f8b0fe0c8a296c3bf565e6e31884cbbe"}]</t>
        </is>
      </c>
    </row>
    <row r="56">
      <c r="A56" s="116" t="inlineStr">
        <is>
          <t xml:space="preserve">Report_Year</t>
        </is>
      </c>
      <c r="B56" s="93">
        <v>2026</v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7">
    <mergeCell ref="A38:D38"/>
    <mergeCell ref="A47:D47"/>
    <mergeCell ref="A1:D1"/>
    <mergeCell ref="A3:D3"/>
    <mergeCell ref="A12:D12"/>
    <mergeCell ref="A25:D25"/>
    <mergeCell ref="A30:D30"/>
  </mergeCell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262626"/>
  </sheetPr>
  <dimension ref="A1:J5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24" customWidth="1"/>
    <col min="3" max="3" width="20" customWidth="1"/>
    <col min="4" max="4" width="16" customWidth="1"/>
    <col min="5" max="5" width="24" customWidth="1"/>
    <col min="6" max="6" width="16" customWidth="1"/>
    <col min="7" max="7" width="14" customWidth="1"/>
    <col min="8" max="9" width="10" customWidth="1"/>
    <col min="10" max="10" width="30" customWidth="1"/>
  </cols>
  <sheetData>
    <row r="1" spans="1:10" ht="30" customHeight="1" x14ac:dyDescent="0.25">
      <c r="A1" s="71" t="s">
        <v>1660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7.75" customHeight="1" x14ac:dyDescent="0.25">
      <c r="A2" s="63" t="s">
        <v>1661</v>
      </c>
      <c r="B2" s="63" t="s">
        <v>396</v>
      </c>
      <c r="C2" s="63" t="s">
        <v>800</v>
      </c>
      <c r="D2" s="63" t="s">
        <v>217</v>
      </c>
      <c r="E2" s="63" t="s">
        <v>218</v>
      </c>
      <c r="F2" s="63" t="s">
        <v>1662</v>
      </c>
      <c r="G2" s="63" t="s">
        <v>1663</v>
      </c>
      <c r="H2" s="63" t="s">
        <v>1664</v>
      </c>
      <c r="I2" s="63" t="s">
        <v>683</v>
      </c>
      <c r="J2" s="63" t="s">
        <v>226</v>
      </c>
    </row>
    <row r="3" spans="1:10" ht="15" customHeight="1" x14ac:dyDescent="0.25">
      <c r="A3" s="92" t="s">
        <v>1320</v>
      </c>
      <c r="B3" s="106" t="s">
        <v>1059</v>
      </c>
      <c r="C3" s="93" t="s">
        <v>1665</v>
      </c>
      <c r="D3" s="93" t="s">
        <v>1666</v>
      </c>
      <c r="E3" s="93" t="s">
        <v>1667</v>
      </c>
      <c r="F3" s="93" t="s">
        <v>1668</v>
      </c>
      <c r="G3" s="108">
        <v>5</v>
      </c>
      <c r="H3" s="93">
        <v>5</v>
      </c>
      <c r="I3" s="93" t="s">
        <v>688</v>
      </c>
      <c r="J3" s="106" t="s">
        <v>1669</v>
      </c>
    </row>
    <row r="4" spans="1:10" ht="15" customHeight="1" x14ac:dyDescent="0.25">
      <c r="A4" s="92" t="s">
        <v>1670</v>
      </c>
      <c r="B4" s="106" t="s">
        <v>1061</v>
      </c>
      <c r="C4" s="93" t="s">
        <v>1665</v>
      </c>
      <c r="D4" s="93" t="s">
        <v>1671</v>
      </c>
      <c r="E4" s="93" t="s">
        <v>1672</v>
      </c>
      <c r="F4" s="93" t="s">
        <v>1673</v>
      </c>
      <c r="G4" s="108">
        <v>10</v>
      </c>
      <c r="H4" s="93">
        <v>5</v>
      </c>
      <c r="I4" s="93" t="s">
        <v>688</v>
      </c>
      <c r="J4" s="106" t="s">
        <v>1674</v>
      </c>
    </row>
    <row r="5" spans="1:10" ht="15" customHeight="1" x14ac:dyDescent="0.25">
      <c r="A5" s="92" t="s">
        <v>1675</v>
      </c>
      <c r="B5" s="106" t="s">
        <v>1676</v>
      </c>
      <c r="C5" s="93" t="s">
        <v>1677</v>
      </c>
      <c r="D5" s="93" t="s">
        <v>1678</v>
      </c>
      <c r="E5" s="93" t="s">
        <v>1679</v>
      </c>
      <c r="F5" s="93" t="s">
        <v>1680</v>
      </c>
      <c r="G5" s="108">
        <v>14</v>
      </c>
      <c r="H5" s="93">
        <v>4</v>
      </c>
      <c r="I5" s="93" t="s">
        <v>688</v>
      </c>
      <c r="J5" s="106" t="s">
        <v>1681</v>
      </c>
    </row>
    <row r="6" spans="1:10" ht="26.25" customHeight="1" x14ac:dyDescent="0.25">
      <c r="A6" s="92" t="s">
        <v>1682</v>
      </c>
      <c r="B6" s="106" t="s">
        <v>1422</v>
      </c>
      <c r="C6" s="93" t="s">
        <v>1677</v>
      </c>
      <c r="D6" s="93" t="s">
        <v>1683</v>
      </c>
      <c r="E6" s="93" t="s">
        <v>1684</v>
      </c>
      <c r="F6" s="93" t="s">
        <v>1680</v>
      </c>
      <c r="G6" s="108">
        <v>21</v>
      </c>
      <c r="H6" s="93">
        <v>5</v>
      </c>
      <c r="I6" s="93" t="s">
        <v>688</v>
      </c>
      <c r="J6" s="106" t="s">
        <v>1685</v>
      </c>
    </row>
    <row r="7" spans="1:10" ht="15" customHeight="1" x14ac:dyDescent="0.25">
      <c r="A7" s="92" t="s">
        <v>1686</v>
      </c>
      <c r="B7" s="106" t="s">
        <v>1077</v>
      </c>
      <c r="C7" s="93" t="s">
        <v>1687</v>
      </c>
      <c r="D7" s="93" t="s">
        <v>1688</v>
      </c>
      <c r="E7" s="93" t="s">
        <v>1689</v>
      </c>
      <c r="F7" s="93" t="s">
        <v>1668</v>
      </c>
      <c r="G7" s="108">
        <v>7</v>
      </c>
      <c r="H7" s="93">
        <v>4</v>
      </c>
      <c r="I7" s="93" t="s">
        <v>688</v>
      </c>
      <c r="J7" s="106" t="s">
        <v>1690</v>
      </c>
    </row>
    <row r="8" spans="1:10" ht="15" customHeight="1" x14ac:dyDescent="0.25">
      <c r="A8" s="92" t="s">
        <v>1303</v>
      </c>
      <c r="B8" s="106" t="s">
        <v>1074</v>
      </c>
      <c r="C8" s="93" t="s">
        <v>1691</v>
      </c>
      <c r="D8" s="93" t="s">
        <v>1692</v>
      </c>
      <c r="E8" s="93" t="s">
        <v>1693</v>
      </c>
      <c r="F8" s="93" t="s">
        <v>1668</v>
      </c>
      <c r="G8" s="108">
        <v>3</v>
      </c>
      <c r="H8" s="93">
        <v>5</v>
      </c>
      <c r="I8" s="93" t="s">
        <v>688</v>
      </c>
      <c r="J8" s="106" t="s">
        <v>1694</v>
      </c>
    </row>
    <row r="9" spans="1:10" ht="15" customHeight="1" x14ac:dyDescent="0.25">
      <c r="A9" s="92" t="s">
        <v>1695</v>
      </c>
      <c r="B9" s="106" t="s">
        <v>1437</v>
      </c>
      <c r="C9" s="93" t="s">
        <v>1677</v>
      </c>
      <c r="D9" s="93" t="s">
        <v>1696</v>
      </c>
      <c r="E9" s="93" t="s">
        <v>1697</v>
      </c>
      <c r="F9" s="93" t="s">
        <v>1668</v>
      </c>
      <c r="G9" s="108">
        <v>5</v>
      </c>
      <c r="H9" s="93">
        <v>5</v>
      </c>
      <c r="I9" s="93" t="s">
        <v>688</v>
      </c>
      <c r="J9" s="106" t="s">
        <v>471</v>
      </c>
    </row>
    <row r="10" spans="1:10" ht="15" customHeight="1" x14ac:dyDescent="0.25">
      <c r="A10" s="92" t="s">
        <v>1307</v>
      </c>
      <c r="B10" s="106" t="s">
        <v>1444</v>
      </c>
      <c r="C10" s="93" t="s">
        <v>1677</v>
      </c>
      <c r="D10" s="93" t="s">
        <v>1698</v>
      </c>
      <c r="E10" s="93" t="s">
        <v>1699</v>
      </c>
      <c r="F10" s="93" t="s">
        <v>1668</v>
      </c>
      <c r="G10" s="108">
        <v>14</v>
      </c>
      <c r="H10" s="93">
        <v>4</v>
      </c>
      <c r="I10" s="93" t="s">
        <v>688</v>
      </c>
      <c r="J10" s="106" t="s">
        <v>812</v>
      </c>
    </row>
    <row r="11" spans="1:10" ht="15" customHeight="1" x14ac:dyDescent="0.25">
      <c r="A11" s="92" t="s">
        <v>1317</v>
      </c>
      <c r="B11" s="106" t="s">
        <v>1450</v>
      </c>
      <c r="C11" s="93" t="s">
        <v>1677</v>
      </c>
      <c r="D11" s="93" t="s">
        <v>1700</v>
      </c>
      <c r="E11" s="93" t="s">
        <v>1701</v>
      </c>
      <c r="F11" s="93" t="s">
        <v>1673</v>
      </c>
      <c r="G11" s="108">
        <v>7</v>
      </c>
      <c r="H11" s="93">
        <v>4</v>
      </c>
      <c r="I11" s="93" t="s">
        <v>688</v>
      </c>
      <c r="J11" s="106" t="s">
        <v>1702</v>
      </c>
    </row>
    <row r="12" spans="1:10" ht="15" customHeight="1" x14ac:dyDescent="0.25">
      <c r="A12" s="92" t="s">
        <v>1331</v>
      </c>
      <c r="B12" s="106" t="s">
        <v>1065</v>
      </c>
      <c r="C12" s="93" t="s">
        <v>1665</v>
      </c>
      <c r="D12" s="93" t="s">
        <v>1703</v>
      </c>
      <c r="E12" s="93" t="s">
        <v>1704</v>
      </c>
      <c r="F12" s="93" t="s">
        <v>1668</v>
      </c>
      <c r="G12" s="108">
        <v>5</v>
      </c>
      <c r="H12" s="93">
        <v>5</v>
      </c>
      <c r="I12" s="93" t="s">
        <v>688</v>
      </c>
      <c r="J12" s="106" t="s">
        <v>1705</v>
      </c>
    </row>
    <row r="13" spans="1:10" ht="15" customHeight="1" x14ac:dyDescent="0.25">
      <c r="A13" s="92" t="s">
        <v>1706</v>
      </c>
      <c r="B13" s="106" t="s">
        <v>1071</v>
      </c>
      <c r="C13" s="93" t="s">
        <v>1677</v>
      </c>
      <c r="D13" s="93" t="s">
        <v>1707</v>
      </c>
      <c r="E13" s="93" t="s">
        <v>1708</v>
      </c>
      <c r="F13" s="93" t="s">
        <v>1668</v>
      </c>
      <c r="G13" s="108">
        <v>3</v>
      </c>
      <c r="H13" s="93">
        <v>5</v>
      </c>
      <c r="I13" s="93" t="s">
        <v>688</v>
      </c>
      <c r="J13" s="106" t="s">
        <v>1709</v>
      </c>
    </row>
    <row r="14" spans="1:10" ht="15" customHeight="1" x14ac:dyDescent="0.25">
      <c r="A14" s="92" t="s">
        <v>1710</v>
      </c>
      <c r="B14" s="106" t="s">
        <v>1462</v>
      </c>
      <c r="C14" s="93" t="s">
        <v>1677</v>
      </c>
      <c r="D14" s="93" t="s">
        <v>1711</v>
      </c>
      <c r="E14" s="93" t="s">
        <v>1712</v>
      </c>
      <c r="F14" s="93" t="s">
        <v>1668</v>
      </c>
      <c r="G14" s="108">
        <v>2</v>
      </c>
      <c r="H14" s="93">
        <v>5</v>
      </c>
      <c r="I14" s="93" t="s">
        <v>688</v>
      </c>
      <c r="J14" s="106" t="s">
        <v>1713</v>
      </c>
    </row>
    <row r="15" spans="1:10" ht="15" customHeight="1" x14ac:dyDescent="0.25">
      <c r="A15" s="92" t="s">
        <v>1714</v>
      </c>
      <c r="B15" s="106" t="s">
        <v>1454</v>
      </c>
      <c r="C15" s="93" t="s">
        <v>1677</v>
      </c>
      <c r="D15" s="93" t="s">
        <v>1715</v>
      </c>
      <c r="E15" s="93" t="s">
        <v>1716</v>
      </c>
      <c r="F15" s="93" t="s">
        <v>966</v>
      </c>
      <c r="G15" s="108">
        <v>1</v>
      </c>
      <c r="H15" s="93">
        <v>4</v>
      </c>
      <c r="I15" s="93" t="s">
        <v>688</v>
      </c>
      <c r="J15" s="106" t="s">
        <v>1453</v>
      </c>
    </row>
    <row r="16" spans="1:10" ht="15" customHeight="1" x14ac:dyDescent="0.25">
      <c r="A16" s="92" t="s">
        <v>1717</v>
      </c>
      <c r="B16" s="106" t="s">
        <v>1718</v>
      </c>
      <c r="C16" s="93" t="s">
        <v>1677</v>
      </c>
      <c r="D16" s="93" t="s">
        <v>1719</v>
      </c>
      <c r="E16" s="93" t="s">
        <v>1720</v>
      </c>
      <c r="F16" s="93" t="s">
        <v>1668</v>
      </c>
      <c r="G16" s="108">
        <v>3</v>
      </c>
      <c r="H16" s="93">
        <v>4</v>
      </c>
      <c r="I16" s="93" t="s">
        <v>688</v>
      </c>
      <c r="J16" s="106" t="s">
        <v>1721</v>
      </c>
    </row>
    <row r="17" spans="1:10" ht="15" customHeight="1" x14ac:dyDescent="0.25">
      <c r="A17" s="92" t="s">
        <v>1722</v>
      </c>
      <c r="B17" s="106" t="s">
        <v>1466</v>
      </c>
      <c r="C17" s="93" t="s">
        <v>1677</v>
      </c>
      <c r="D17" s="93" t="s">
        <v>1723</v>
      </c>
      <c r="E17" s="93" t="s">
        <v>1724</v>
      </c>
      <c r="F17" s="93" t="s">
        <v>966</v>
      </c>
      <c r="G17" s="108">
        <v>1</v>
      </c>
      <c r="H17" s="93">
        <v>4</v>
      </c>
      <c r="I17" s="93" t="s">
        <v>688</v>
      </c>
      <c r="J17" s="106" t="s">
        <v>1725</v>
      </c>
    </row>
    <row r="18" spans="1:10" ht="15" customHeight="1" x14ac:dyDescent="0.25">
      <c r="A18" s="184"/>
      <c r="B18" s="184"/>
      <c r="C18" s="184"/>
      <c r="D18" s="184"/>
      <c r="E18" s="184"/>
      <c r="F18" s="184"/>
      <c r="G18" s="184"/>
      <c r="H18" s="184"/>
      <c r="I18" s="184"/>
      <c r="J18" s="184"/>
    </row>
    <row r="19" spans="1:10" ht="15" customHeight="1" x14ac:dyDescent="0.25">
      <c r="A19" s="184"/>
      <c r="B19" s="184"/>
      <c r="C19" s="184"/>
      <c r="D19" s="184"/>
      <c r="E19" s="184"/>
      <c r="F19" s="184"/>
      <c r="G19" s="184"/>
      <c r="H19" s="184"/>
      <c r="I19" s="184"/>
      <c r="J19" s="184"/>
    </row>
    <row r="20" spans="1:10" ht="15" customHeight="1" x14ac:dyDescent="0.25">
      <c r="A20" s="184"/>
      <c r="B20" s="184"/>
      <c r="C20" s="184"/>
      <c r="D20" s="184"/>
      <c r="E20" s="184"/>
      <c r="F20" s="184"/>
      <c r="G20" s="184"/>
      <c r="H20" s="184"/>
      <c r="I20" s="184"/>
      <c r="J20" s="184"/>
    </row>
    <row r="21" spans="1:10" ht="15" customHeight="1" x14ac:dyDescent="0.25">
      <c r="A21" s="184"/>
      <c r="B21" s="184"/>
      <c r="C21" s="184"/>
      <c r="D21" s="184"/>
      <c r="E21" s="184"/>
      <c r="F21" s="184"/>
      <c r="G21" s="184"/>
      <c r="H21" s="184"/>
      <c r="I21" s="184"/>
      <c r="J21" s="184"/>
    </row>
    <row r="22" spans="1:10" ht="15" customHeight="1" x14ac:dyDescent="0.25">
      <c r="A22" s="184"/>
      <c r="B22" s="184"/>
      <c r="C22" s="184"/>
      <c r="D22" s="184"/>
      <c r="E22" s="184"/>
      <c r="F22" s="184"/>
      <c r="G22" s="184"/>
      <c r="H22" s="184"/>
      <c r="I22" s="184"/>
      <c r="J22" s="184"/>
    </row>
    <row r="23" spans="1:10" ht="15" customHeight="1" x14ac:dyDescent="0.25">
      <c r="A23" s="184"/>
      <c r="B23" s="184"/>
      <c r="C23" s="184"/>
      <c r="D23" s="184"/>
      <c r="E23" s="184"/>
      <c r="F23" s="184"/>
      <c r="G23" s="184"/>
      <c r="H23" s="184"/>
      <c r="I23" s="184"/>
      <c r="J23" s="184"/>
    </row>
    <row r="24" spans="1:10" ht="15" customHeight="1" x14ac:dyDescent="0.25">
      <c r="A24" s="184"/>
      <c r="B24" s="184"/>
      <c r="C24" s="184"/>
      <c r="D24" s="184"/>
      <c r="E24" s="184"/>
      <c r="F24" s="184"/>
      <c r="G24" s="184"/>
      <c r="H24" s="184"/>
      <c r="I24" s="184"/>
      <c r="J24" s="184"/>
    </row>
    <row r="25" spans="1:10" ht="15" customHeight="1" x14ac:dyDescent="0.25">
      <c r="A25" s="184"/>
      <c r="B25" s="184"/>
      <c r="C25" s="184"/>
      <c r="D25" s="184"/>
      <c r="E25" s="184"/>
      <c r="F25" s="184"/>
      <c r="G25" s="184"/>
      <c r="H25" s="184"/>
      <c r="I25" s="184"/>
      <c r="J25" s="184"/>
    </row>
    <row r="26" spans="1:10" ht="15" customHeight="1" x14ac:dyDescent="0.25">
      <c r="A26" s="184"/>
      <c r="B26" s="184"/>
      <c r="C26" s="184"/>
      <c r="D26" s="184"/>
      <c r="E26" s="184"/>
      <c r="F26" s="184"/>
      <c r="G26" s="184"/>
      <c r="H26" s="184"/>
      <c r="I26" s="184"/>
      <c r="J26" s="184"/>
    </row>
    <row r="27" spans="1:10" ht="15" customHeight="1" x14ac:dyDescent="0.25">
      <c r="A27" s="184"/>
      <c r="B27" s="184"/>
      <c r="C27" s="184"/>
      <c r="D27" s="184"/>
      <c r="E27" s="184"/>
      <c r="F27" s="184"/>
      <c r="G27" s="184"/>
      <c r="H27" s="184"/>
      <c r="I27" s="184"/>
      <c r="J27" s="184"/>
    </row>
    <row r="28" spans="1:10" ht="15" customHeight="1" x14ac:dyDescent="0.25">
      <c r="A28" s="184"/>
      <c r="B28" s="184"/>
      <c r="C28" s="184"/>
      <c r="D28" s="184"/>
      <c r="E28" s="184"/>
      <c r="F28" s="184"/>
      <c r="G28" s="184"/>
      <c r="H28" s="184"/>
      <c r="I28" s="184"/>
      <c r="J28" s="184"/>
    </row>
    <row r="29" spans="1:10" ht="15" customHeight="1" x14ac:dyDescent="0.25">
      <c r="A29" s="184"/>
      <c r="B29" s="184"/>
      <c r="C29" s="184"/>
      <c r="D29" s="184"/>
      <c r="E29" s="184"/>
      <c r="F29" s="184"/>
      <c r="G29" s="184"/>
      <c r="H29" s="184"/>
      <c r="I29" s="184"/>
      <c r="J29" s="184"/>
    </row>
    <row r="30" spans="1:10" ht="15" customHeight="1" x14ac:dyDescent="0.25">
      <c r="A30" s="184"/>
      <c r="B30" s="184"/>
      <c r="C30" s="184"/>
      <c r="D30" s="184"/>
      <c r="E30" s="184"/>
      <c r="F30" s="184"/>
      <c r="G30" s="184"/>
      <c r="H30" s="184"/>
      <c r="I30" s="184"/>
      <c r="J30" s="184"/>
    </row>
    <row r="31" spans="1:10" ht="15" customHeight="1" x14ac:dyDescent="0.25">
      <c r="A31" s="184"/>
      <c r="B31" s="184"/>
      <c r="C31" s="184"/>
      <c r="D31" s="184"/>
      <c r="E31" s="184"/>
      <c r="F31" s="184"/>
      <c r="G31" s="184"/>
      <c r="H31" s="184"/>
      <c r="I31" s="184"/>
      <c r="J31" s="184"/>
    </row>
    <row r="32" spans="1:10" ht="15" customHeight="1" x14ac:dyDescent="0.25">
      <c r="A32" s="184"/>
      <c r="B32" s="184"/>
      <c r="C32" s="184"/>
      <c r="D32" s="184"/>
      <c r="E32" s="184"/>
      <c r="F32" s="184"/>
      <c r="G32" s="184"/>
      <c r="H32" s="184"/>
      <c r="I32" s="184"/>
      <c r="J32" s="184"/>
    </row>
    <row r="33" spans="1:10" ht="15" customHeight="1" x14ac:dyDescent="0.25">
      <c r="A33" s="184"/>
      <c r="B33" s="184"/>
      <c r="C33" s="184"/>
      <c r="D33" s="184"/>
      <c r="E33" s="184"/>
      <c r="F33" s="184"/>
      <c r="G33" s="184"/>
      <c r="H33" s="184"/>
      <c r="I33" s="184"/>
      <c r="J33" s="184"/>
    </row>
    <row r="34" spans="1:10" ht="15" customHeight="1" x14ac:dyDescent="0.25">
      <c r="A34" s="184"/>
      <c r="B34" s="184"/>
      <c r="C34" s="184"/>
      <c r="D34" s="184"/>
      <c r="E34" s="184"/>
      <c r="F34" s="184"/>
      <c r="G34" s="184"/>
      <c r="H34" s="184"/>
      <c r="I34" s="184"/>
      <c r="J34" s="184"/>
    </row>
    <row r="35" spans="1:10" ht="15" customHeight="1" x14ac:dyDescent="0.25">
      <c r="A35" s="184"/>
      <c r="B35" s="184"/>
      <c r="C35" s="184"/>
      <c r="D35" s="184"/>
      <c r="E35" s="184"/>
      <c r="F35" s="184"/>
      <c r="G35" s="184"/>
      <c r="H35" s="184"/>
      <c r="I35" s="184"/>
      <c r="J35" s="184"/>
    </row>
    <row r="36" spans="1:10" ht="15" customHeight="1" x14ac:dyDescent="0.25">
      <c r="A36" s="184"/>
      <c r="B36" s="184"/>
      <c r="C36" s="184"/>
      <c r="D36" s="184"/>
      <c r="E36" s="184"/>
      <c r="F36" s="184"/>
      <c r="G36" s="184"/>
      <c r="H36" s="184"/>
      <c r="I36" s="184"/>
      <c r="J36" s="184"/>
    </row>
    <row r="37" spans="1:10" ht="15" customHeight="1" x14ac:dyDescent="0.25">
      <c r="A37" s="184"/>
      <c r="B37" s="184"/>
      <c r="C37" s="184"/>
      <c r="D37" s="184"/>
      <c r="E37" s="184"/>
      <c r="F37" s="184"/>
      <c r="G37" s="184"/>
      <c r="H37" s="184"/>
      <c r="I37" s="184"/>
      <c r="J37" s="184"/>
    </row>
    <row r="38" spans="1:10" ht="15" customHeight="1" x14ac:dyDescent="0.25">
      <c r="A38" s="184"/>
      <c r="B38" s="184"/>
      <c r="C38" s="184"/>
      <c r="D38" s="184"/>
      <c r="E38" s="184"/>
      <c r="F38" s="184"/>
      <c r="G38" s="184"/>
      <c r="H38" s="184"/>
      <c r="I38" s="184"/>
      <c r="J38" s="184"/>
    </row>
    <row r="39" spans="1:10" ht="15" customHeight="1" x14ac:dyDescent="0.25">
      <c r="A39" s="184"/>
      <c r="B39" s="184"/>
      <c r="C39" s="184"/>
      <c r="D39" s="184"/>
      <c r="E39" s="184"/>
      <c r="F39" s="184"/>
      <c r="G39" s="184"/>
      <c r="H39" s="184"/>
      <c r="I39" s="184"/>
      <c r="J39" s="184"/>
    </row>
    <row r="40" spans="1:10" ht="15" customHeight="1" x14ac:dyDescent="0.25">
      <c r="A40" s="184"/>
      <c r="B40" s="184"/>
      <c r="C40" s="184"/>
      <c r="D40" s="184"/>
      <c r="E40" s="184"/>
      <c r="F40" s="184"/>
      <c r="G40" s="184"/>
      <c r="H40" s="184"/>
      <c r="I40" s="184"/>
      <c r="J40" s="184"/>
    </row>
    <row r="41" spans="1:10" ht="15" customHeight="1" x14ac:dyDescent="0.25">
      <c r="A41" s="184"/>
      <c r="B41" s="184"/>
      <c r="C41" s="184"/>
      <c r="D41" s="184"/>
      <c r="E41" s="184"/>
      <c r="F41" s="184"/>
      <c r="G41" s="184"/>
      <c r="H41" s="184"/>
      <c r="I41" s="184"/>
      <c r="J41" s="184"/>
    </row>
    <row r="42" spans="1:10" ht="15" customHeight="1" x14ac:dyDescent="0.25">
      <c r="A42" s="184"/>
      <c r="B42" s="184"/>
      <c r="C42" s="184"/>
      <c r="D42" s="184"/>
      <c r="E42" s="184"/>
      <c r="F42" s="184"/>
      <c r="G42" s="184"/>
      <c r="H42" s="184"/>
      <c r="I42" s="184"/>
      <c r="J42" s="184"/>
    </row>
    <row r="43" spans="1:10" ht="15" customHeight="1" x14ac:dyDescent="0.25">
      <c r="A43" s="184"/>
      <c r="B43" s="184"/>
      <c r="C43" s="184"/>
      <c r="D43" s="184"/>
      <c r="E43" s="184"/>
      <c r="F43" s="184"/>
      <c r="G43" s="184"/>
      <c r="H43" s="184"/>
      <c r="I43" s="184"/>
      <c r="J43" s="184"/>
    </row>
    <row r="44" spans="1:10" ht="15" customHeight="1" x14ac:dyDescent="0.25">
      <c r="A44" s="184"/>
      <c r="B44" s="184"/>
      <c r="C44" s="184"/>
      <c r="D44" s="184"/>
      <c r="E44" s="184"/>
      <c r="F44" s="184"/>
      <c r="G44" s="184"/>
      <c r="H44" s="184"/>
      <c r="I44" s="184"/>
      <c r="J44" s="184"/>
    </row>
    <row r="45" spans="1:10" ht="15" customHeight="1" x14ac:dyDescent="0.25">
      <c r="A45" s="184"/>
      <c r="B45" s="184"/>
      <c r="C45" s="184"/>
      <c r="D45" s="184"/>
      <c r="E45" s="184"/>
      <c r="F45" s="184"/>
      <c r="G45" s="184"/>
      <c r="H45" s="184"/>
      <c r="I45" s="184"/>
      <c r="J45" s="184"/>
    </row>
    <row r="46" spans="1:10" ht="15" customHeight="1" x14ac:dyDescent="0.25">
      <c r="A46" s="184"/>
      <c r="B46" s="184"/>
      <c r="C46" s="184"/>
      <c r="D46" s="184"/>
      <c r="E46" s="184"/>
      <c r="F46" s="184"/>
      <c r="G46" s="184"/>
      <c r="H46" s="184"/>
      <c r="I46" s="184"/>
      <c r="J46" s="184"/>
    </row>
    <row r="47" spans="1:10" ht="15" customHeight="1" x14ac:dyDescent="0.25">
      <c r="A47" s="184"/>
      <c r="B47" s="184"/>
      <c r="C47" s="184"/>
      <c r="D47" s="184"/>
      <c r="E47" s="184"/>
      <c r="F47" s="184"/>
      <c r="G47" s="184"/>
      <c r="H47" s="184"/>
      <c r="I47" s="184"/>
      <c r="J47" s="184"/>
    </row>
    <row r="48" spans="1:10" ht="15" customHeight="1" x14ac:dyDescent="0.25">
      <c r="A48" s="184"/>
      <c r="B48" s="184"/>
      <c r="C48" s="184"/>
      <c r="D48" s="184"/>
      <c r="E48" s="184"/>
      <c r="F48" s="184"/>
      <c r="G48" s="184"/>
      <c r="H48" s="184"/>
      <c r="I48" s="184"/>
      <c r="J48" s="184"/>
    </row>
    <row r="49" spans="1:10" ht="15" customHeight="1" x14ac:dyDescent="0.25">
      <c r="A49" s="184"/>
      <c r="B49" s="184"/>
      <c r="C49" s="184"/>
      <c r="D49" s="184"/>
      <c r="E49" s="184"/>
      <c r="F49" s="184"/>
      <c r="G49" s="184"/>
      <c r="H49" s="184"/>
      <c r="I49" s="184"/>
      <c r="J49" s="184"/>
    </row>
    <row r="50" spans="1:10" ht="15" customHeight="1" x14ac:dyDescent="0.25">
      <c r="A50" s="184"/>
      <c r="B50" s="184"/>
      <c r="C50" s="184"/>
      <c r="D50" s="184"/>
      <c r="E50" s="184"/>
      <c r="F50" s="184"/>
      <c r="G50" s="184"/>
      <c r="H50" s="184"/>
      <c r="I50" s="184"/>
      <c r="J50" s="184"/>
    </row>
    <row r="51" spans="1:10" ht="15" customHeight="1" x14ac:dyDescent="0.25">
      <c r="A51" s="184"/>
      <c r="B51" s="184"/>
      <c r="C51" s="184"/>
      <c r="D51" s="184"/>
      <c r="E51" s="184"/>
      <c r="F51" s="184"/>
      <c r="G51" s="184"/>
      <c r="H51" s="184"/>
      <c r="I51" s="184"/>
      <c r="J51" s="184"/>
    </row>
    <row r="52" spans="1:10" ht="15" customHeight="1" x14ac:dyDescent="0.25">
      <c r="A52" s="184"/>
      <c r="B52" s="184"/>
      <c r="C52" s="184"/>
      <c r="D52" s="184"/>
      <c r="E52" s="184"/>
      <c r="F52" s="184"/>
      <c r="G52" s="184"/>
      <c r="H52" s="184"/>
      <c r="I52" s="184"/>
      <c r="J52" s="18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J1"/>
  </mergeCells>
  <dataValidations count="1">
    <dataValidation type="list" allowBlank="1" sqref="I3:I52" xr:uid="{00000000-0002-0000-2500-000000000000}">
      <formula1>List_YesNo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8235"/>
  </sheetPr>
  <dimension ref="A1:M3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14" customWidth="1"/>
    <col min="3" max="3" width="22" customWidth="1"/>
    <col min="4" max="4" width="16" customWidth="1"/>
    <col min="5" max="5" width="14" customWidth="1"/>
    <col min="6" max="6" width="18" customWidth="1"/>
    <col min="7" max="7" width="16" customWidth="1"/>
    <col min="8" max="9" width="14" customWidth="1"/>
    <col min="10" max="10" width="12" customWidth="1"/>
    <col min="11" max="11" width="14" customWidth="1"/>
    <col min="12" max="12" width="16" customWidth="1"/>
    <col min="13" max="13" width="24" customWidth="1"/>
  </cols>
  <sheetData>
    <row r="1" spans="1:13" ht="18" x14ac:dyDescent="0.25">
      <c r="A1" s="60" t="s">
        <v>66</v>
      </c>
      <c r="B1" s="61"/>
      <c r="C1" s="61"/>
      <c r="D1" s="61"/>
      <c r="E1" s="61"/>
      <c r="F1" s="61"/>
      <c r="G1" s="61"/>
      <c r="H1" s="62" t="s">
        <v>212</v>
      </c>
      <c r="I1" s="69">
        <f>SUMIFS(H3:H302,K3:K302,"&lt;&gt;Lost",K3:K302,"&lt;&gt;Won")</f>
        <v>84800</v>
      </c>
      <c r="J1" s="62" t="s">
        <v>213</v>
      </c>
      <c r="K1" s="69">
        <f>SUMIFS(J3:J302,K3:K302,"&lt;&gt;Lost",K3:K302,"&lt;&gt;Won")</f>
        <v>46010</v>
      </c>
      <c r="L1" s="61"/>
      <c r="M1" s="61"/>
    </row>
    <row r="2" spans="1:13" ht="27.75" customHeight="1" x14ac:dyDescent="0.25">
      <c r="A2" s="63" t="s">
        <v>214</v>
      </c>
      <c r="B2" s="63" t="s">
        <v>215</v>
      </c>
      <c r="C2" s="63" t="s">
        <v>216</v>
      </c>
      <c r="D2" s="63" t="s">
        <v>217</v>
      </c>
      <c r="E2" s="63" t="s">
        <v>218</v>
      </c>
      <c r="F2" s="63" t="s">
        <v>219</v>
      </c>
      <c r="G2" s="63" t="s">
        <v>220</v>
      </c>
      <c r="H2" s="63" t="s">
        <v>221</v>
      </c>
      <c r="I2" s="63" t="s">
        <v>222</v>
      </c>
      <c r="J2" s="63" t="s">
        <v>223</v>
      </c>
      <c r="K2" s="63" t="s">
        <v>224</v>
      </c>
      <c r="L2" s="63" t="s">
        <v>225</v>
      </c>
      <c r="M2" s="63" t="s">
        <v>226</v>
      </c>
    </row>
    <row r="3" spans="1:13" x14ac:dyDescent="0.25">
      <c r="A3" s="64" t="s">
        <v>227</v>
      </c>
      <c r="B3" s="65">
        <v>46086</v>
      </c>
      <c r="C3" s="64" t="s">
        <v>228</v>
      </c>
      <c r="D3" s="64" t="s">
        <v>229</v>
      </c>
      <c r="E3" s="64" t="s">
        <v>230</v>
      </c>
      <c r="F3" s="64" t="s">
        <v>231</v>
      </c>
      <c r="G3" s="64" t="s">
        <v>37</v>
      </c>
      <c r="H3" s="66">
        <v>14000</v>
      </c>
      <c r="I3" s="67">
        <v>0.7</v>
      </c>
      <c r="J3" s="70">
        <f t="shared" ref="J3:J66" si="0">IFERROR(IF(OR(H3="",I3=""),"",H3*I3),"")</f>
        <v>9800</v>
      </c>
      <c r="K3" s="68">
        <v>46137</v>
      </c>
      <c r="L3" s="65"/>
      <c r="M3" s="64"/>
    </row>
    <row r="4" spans="1:13" x14ac:dyDescent="0.25">
      <c r="A4" s="64" t="s">
        <v>232</v>
      </c>
      <c r="B4" s="65">
        <v>46091</v>
      </c>
      <c r="C4" s="64" t="s">
        <v>233</v>
      </c>
      <c r="D4" s="64" t="s">
        <v>234</v>
      </c>
      <c r="E4" s="64" t="s">
        <v>235</v>
      </c>
      <c r="F4" s="64" t="s">
        <v>236</v>
      </c>
      <c r="G4" s="64" t="s">
        <v>237</v>
      </c>
      <c r="H4" s="66">
        <v>6500</v>
      </c>
      <c r="I4" s="67">
        <v>0.5</v>
      </c>
      <c r="J4" s="70">
        <f t="shared" si="0"/>
        <v>3250</v>
      </c>
      <c r="K4" s="68">
        <v>46134</v>
      </c>
      <c r="L4" s="65"/>
      <c r="M4" s="64"/>
    </row>
    <row r="5" spans="1:13" x14ac:dyDescent="0.25">
      <c r="A5" s="64" t="s">
        <v>238</v>
      </c>
      <c r="B5" s="65">
        <v>46099</v>
      </c>
      <c r="C5" s="64" t="s">
        <v>239</v>
      </c>
      <c r="D5" s="64" t="s">
        <v>240</v>
      </c>
      <c r="E5" s="64" t="s">
        <v>241</v>
      </c>
      <c r="F5" s="64" t="s">
        <v>242</v>
      </c>
      <c r="G5" s="64" t="s">
        <v>243</v>
      </c>
      <c r="H5" s="66">
        <v>3200</v>
      </c>
      <c r="I5" s="67">
        <v>0.3</v>
      </c>
      <c r="J5" s="70">
        <f t="shared" si="0"/>
        <v>960</v>
      </c>
      <c r="K5" s="68">
        <v>46135</v>
      </c>
      <c r="L5" s="65"/>
      <c r="M5" s="64"/>
    </row>
    <row r="6" spans="1:13" x14ac:dyDescent="0.25">
      <c r="A6" s="64" t="s">
        <v>244</v>
      </c>
      <c r="B6" s="65">
        <v>46106</v>
      </c>
      <c r="C6" s="64" t="s">
        <v>245</v>
      </c>
      <c r="D6" s="64" t="s">
        <v>246</v>
      </c>
      <c r="E6" s="64" t="s">
        <v>247</v>
      </c>
      <c r="F6" s="64" t="s">
        <v>248</v>
      </c>
      <c r="G6" s="64" t="s">
        <v>249</v>
      </c>
      <c r="H6" s="66">
        <v>4800</v>
      </c>
      <c r="I6" s="67">
        <v>0.4</v>
      </c>
      <c r="J6" s="70">
        <f t="shared" si="0"/>
        <v>1920</v>
      </c>
      <c r="K6" s="68">
        <v>46134</v>
      </c>
      <c r="L6" s="65"/>
      <c r="M6" s="64"/>
    </row>
    <row r="7" spans="1:13" x14ac:dyDescent="0.25">
      <c r="A7" s="64" t="s">
        <v>250</v>
      </c>
      <c r="B7" s="65">
        <v>46114</v>
      </c>
      <c r="C7" s="64" t="s">
        <v>251</v>
      </c>
      <c r="D7" s="64" t="s">
        <v>252</v>
      </c>
      <c r="E7" s="64" t="s">
        <v>253</v>
      </c>
      <c r="F7" s="64" t="s">
        <v>231</v>
      </c>
      <c r="G7" s="64" t="s">
        <v>37</v>
      </c>
      <c r="H7" s="66">
        <v>18500</v>
      </c>
      <c r="I7" s="67">
        <v>0.6</v>
      </c>
      <c r="J7" s="70">
        <f t="shared" si="0"/>
        <v>11100</v>
      </c>
      <c r="K7" s="68">
        <v>46140</v>
      </c>
      <c r="L7" s="65"/>
      <c r="M7" s="64"/>
    </row>
    <row r="8" spans="1:13" x14ac:dyDescent="0.25">
      <c r="A8" s="64" t="s">
        <v>254</v>
      </c>
      <c r="B8" s="65">
        <v>46120</v>
      </c>
      <c r="C8" s="64" t="s">
        <v>255</v>
      </c>
      <c r="D8" s="64" t="s">
        <v>256</v>
      </c>
      <c r="E8" s="64" t="s">
        <v>257</v>
      </c>
      <c r="F8" s="64" t="s">
        <v>258</v>
      </c>
      <c r="G8" s="64" t="s">
        <v>259</v>
      </c>
      <c r="H8" s="66">
        <v>3400</v>
      </c>
      <c r="I8" s="67">
        <v>0.7</v>
      </c>
      <c r="J8" s="70">
        <f t="shared" si="0"/>
        <v>2380</v>
      </c>
      <c r="K8" s="68">
        <v>46136</v>
      </c>
      <c r="L8" s="65"/>
      <c r="M8" s="64"/>
    </row>
    <row r="9" spans="1:13" x14ac:dyDescent="0.25">
      <c r="A9" s="64" t="s">
        <v>260</v>
      </c>
      <c r="B9" s="65">
        <v>46124</v>
      </c>
      <c r="C9" s="64" t="s">
        <v>261</v>
      </c>
      <c r="D9" s="64" t="s">
        <v>262</v>
      </c>
      <c r="E9" s="64" t="s">
        <v>263</v>
      </c>
      <c r="F9" s="64" t="s">
        <v>264</v>
      </c>
      <c r="G9" s="64" t="s">
        <v>51</v>
      </c>
      <c r="H9" s="66">
        <v>2800</v>
      </c>
      <c r="I9" s="67">
        <v>0.3</v>
      </c>
      <c r="J9" s="70">
        <f t="shared" si="0"/>
        <v>840</v>
      </c>
      <c r="K9" s="68">
        <v>46137</v>
      </c>
      <c r="L9" s="65"/>
      <c r="M9" s="64"/>
    </row>
    <row r="10" spans="1:13" x14ac:dyDescent="0.25">
      <c r="A10" s="64" t="s">
        <v>265</v>
      </c>
      <c r="B10" s="65">
        <v>46127</v>
      </c>
      <c r="C10" s="64" t="s">
        <v>266</v>
      </c>
      <c r="D10" s="64" t="s">
        <v>267</v>
      </c>
      <c r="E10" s="64" t="s">
        <v>268</v>
      </c>
      <c r="F10" s="64" t="s">
        <v>269</v>
      </c>
      <c r="G10" s="64" t="s">
        <v>237</v>
      </c>
      <c r="H10" s="66">
        <v>7200</v>
      </c>
      <c r="I10" s="67">
        <v>0.8</v>
      </c>
      <c r="J10" s="70">
        <f t="shared" si="0"/>
        <v>5760</v>
      </c>
      <c r="K10" s="68">
        <v>46135</v>
      </c>
      <c r="L10" s="65"/>
      <c r="M10" s="64"/>
    </row>
    <row r="11" spans="1:13" x14ac:dyDescent="0.25">
      <c r="A11" s="64" t="s">
        <v>270</v>
      </c>
      <c r="B11" s="65">
        <v>46130</v>
      </c>
      <c r="C11" s="64" t="s">
        <v>271</v>
      </c>
      <c r="D11" s="64" t="s">
        <v>272</v>
      </c>
      <c r="E11" s="64" t="s">
        <v>273</v>
      </c>
      <c r="F11" s="64" t="s">
        <v>236</v>
      </c>
      <c r="G11" s="64" t="s">
        <v>37</v>
      </c>
      <c r="H11" s="66">
        <v>22000</v>
      </c>
      <c r="I11" s="67">
        <v>0.4</v>
      </c>
      <c r="J11" s="70">
        <f t="shared" si="0"/>
        <v>8800</v>
      </c>
      <c r="K11" s="68">
        <v>46138</v>
      </c>
      <c r="L11" s="65"/>
      <c r="M11" s="64"/>
    </row>
    <row r="12" spans="1:13" x14ac:dyDescent="0.25">
      <c r="A12" s="64" t="s">
        <v>274</v>
      </c>
      <c r="B12" s="65">
        <v>46132</v>
      </c>
      <c r="C12" s="64" t="s">
        <v>275</v>
      </c>
      <c r="D12" s="64" t="s">
        <v>276</v>
      </c>
      <c r="E12" s="64" t="s">
        <v>277</v>
      </c>
      <c r="F12" s="64" t="s">
        <v>231</v>
      </c>
      <c r="G12" s="64" t="s">
        <v>243</v>
      </c>
      <c r="H12" s="66">
        <v>2400</v>
      </c>
      <c r="I12" s="67">
        <v>0.5</v>
      </c>
      <c r="J12" s="70">
        <f t="shared" si="0"/>
        <v>1200</v>
      </c>
      <c r="K12" s="68">
        <v>46139</v>
      </c>
      <c r="L12" s="65"/>
      <c r="M12" s="64"/>
    </row>
    <row r="13" spans="1:13" x14ac:dyDescent="0.25">
      <c r="A13" s="64"/>
      <c r="B13" s="65"/>
      <c r="C13" s="64"/>
      <c r="D13" s="64"/>
      <c r="E13" s="64"/>
      <c r="F13" s="64"/>
      <c r="G13" s="64"/>
      <c r="H13" s="66"/>
      <c r="I13" s="67"/>
      <c r="J13" s="70" t="str">
        <f t="shared" si="0"/>
        <v/>
      </c>
      <c r="K13" s="64"/>
      <c r="L13" s="65"/>
      <c r="M13" s="64"/>
    </row>
    <row r="14" spans="1:13" x14ac:dyDescent="0.25">
      <c r="A14" s="64"/>
      <c r="B14" s="65"/>
      <c r="C14" s="64"/>
      <c r="D14" s="64"/>
      <c r="E14" s="64"/>
      <c r="F14" s="64"/>
      <c r="G14" s="64"/>
      <c r="H14" s="66"/>
      <c r="I14" s="67"/>
      <c r="J14" s="70" t="str">
        <f t="shared" si="0"/>
        <v/>
      </c>
      <c r="K14" s="64"/>
      <c r="L14" s="65"/>
      <c r="M14" s="64"/>
    </row>
    <row r="15" spans="1:13" x14ac:dyDescent="0.25">
      <c r="A15" s="64"/>
      <c r="B15" s="65"/>
      <c r="C15" s="64"/>
      <c r="D15" s="64"/>
      <c r="E15" s="64"/>
      <c r="F15" s="64"/>
      <c r="G15" s="64"/>
      <c r="H15" s="66"/>
      <c r="I15" s="67"/>
      <c r="J15" s="70" t="str">
        <f t="shared" si="0"/>
        <v/>
      </c>
      <c r="K15" s="64"/>
      <c r="L15" s="65"/>
      <c r="M15" s="64"/>
    </row>
    <row r="16" spans="1:13" x14ac:dyDescent="0.25">
      <c r="A16" s="64"/>
      <c r="B16" s="65"/>
      <c r="C16" s="64"/>
      <c r="D16" s="64"/>
      <c r="E16" s="64"/>
      <c r="F16" s="64"/>
      <c r="G16" s="64"/>
      <c r="H16" s="66"/>
      <c r="I16" s="67"/>
      <c r="J16" s="70" t="str">
        <f t="shared" si="0"/>
        <v/>
      </c>
      <c r="K16" s="64"/>
      <c r="L16" s="65"/>
      <c r="M16" s="64"/>
    </row>
    <row r="17" spans="1:13" x14ac:dyDescent="0.25">
      <c r="A17" s="64"/>
      <c r="B17" s="65"/>
      <c r="C17" s="64"/>
      <c r="D17" s="64"/>
      <c r="E17" s="64"/>
      <c r="F17" s="64"/>
      <c r="G17" s="64"/>
      <c r="H17" s="66"/>
      <c r="I17" s="67"/>
      <c r="J17" s="70" t="str">
        <f t="shared" si="0"/>
        <v/>
      </c>
      <c r="K17" s="64"/>
      <c r="L17" s="65"/>
      <c r="M17" s="64"/>
    </row>
    <row r="18" spans="1:13" x14ac:dyDescent="0.25">
      <c r="A18" s="64"/>
      <c r="B18" s="65"/>
      <c r="C18" s="64"/>
      <c r="D18" s="64"/>
      <c r="E18" s="64"/>
      <c r="F18" s="64"/>
      <c r="G18" s="64"/>
      <c r="H18" s="66"/>
      <c r="I18" s="67"/>
      <c r="J18" s="70" t="str">
        <f t="shared" si="0"/>
        <v/>
      </c>
      <c r="K18" s="64"/>
      <c r="L18" s="65"/>
      <c r="M18" s="64"/>
    </row>
    <row r="19" spans="1:13" x14ac:dyDescent="0.25">
      <c r="A19" s="64"/>
      <c r="B19" s="65"/>
      <c r="C19" s="64"/>
      <c r="D19" s="64"/>
      <c r="E19" s="64"/>
      <c r="F19" s="64"/>
      <c r="G19" s="64"/>
      <c r="H19" s="66"/>
      <c r="I19" s="67"/>
      <c r="J19" s="70" t="str">
        <f t="shared" si="0"/>
        <v/>
      </c>
      <c r="K19" s="64"/>
      <c r="L19" s="65"/>
      <c r="M19" s="64"/>
    </row>
    <row r="20" spans="1:13" x14ac:dyDescent="0.25">
      <c r="A20" s="64"/>
      <c r="B20" s="65"/>
      <c r="C20" s="64"/>
      <c r="D20" s="64"/>
      <c r="E20" s="64"/>
      <c r="F20" s="64"/>
      <c r="G20" s="64"/>
      <c r="H20" s="66"/>
      <c r="I20" s="67"/>
      <c r="J20" s="70" t="str">
        <f t="shared" si="0"/>
        <v/>
      </c>
      <c r="K20" s="64"/>
      <c r="L20" s="65"/>
      <c r="M20" s="64"/>
    </row>
    <row r="21" spans="1:13" x14ac:dyDescent="0.25">
      <c r="A21" s="64"/>
      <c r="B21" s="65"/>
      <c r="C21" s="64"/>
      <c r="D21" s="64"/>
      <c r="E21" s="64"/>
      <c r="F21" s="64"/>
      <c r="G21" s="64"/>
      <c r="H21" s="66"/>
      <c r="I21" s="67"/>
      <c r="J21" s="70" t="str">
        <f t="shared" si="0"/>
        <v/>
      </c>
      <c r="K21" s="64"/>
      <c r="L21" s="65"/>
      <c r="M21" s="64"/>
    </row>
    <row r="22" spans="1:13" x14ac:dyDescent="0.25">
      <c r="A22" s="64"/>
      <c r="B22" s="65"/>
      <c r="C22" s="64"/>
      <c r="D22" s="64"/>
      <c r="E22" s="64"/>
      <c r="F22" s="64"/>
      <c r="G22" s="64"/>
      <c r="H22" s="66"/>
      <c r="I22" s="67"/>
      <c r="J22" s="70" t="str">
        <f t="shared" si="0"/>
        <v/>
      </c>
      <c r="K22" s="64"/>
      <c r="L22" s="65"/>
      <c r="M22" s="64"/>
    </row>
    <row r="23" spans="1:13" x14ac:dyDescent="0.25">
      <c r="A23" s="64"/>
      <c r="B23" s="65"/>
      <c r="C23" s="64"/>
      <c r="D23" s="64"/>
      <c r="E23" s="64"/>
      <c r="F23" s="64"/>
      <c r="G23" s="64"/>
      <c r="H23" s="66"/>
      <c r="I23" s="67"/>
      <c r="J23" s="70" t="str">
        <f t="shared" si="0"/>
        <v/>
      </c>
      <c r="K23" s="64"/>
      <c r="L23" s="65"/>
      <c r="M23" s="64"/>
    </row>
    <row r="24" spans="1:13" x14ac:dyDescent="0.25">
      <c r="A24" s="64"/>
      <c r="B24" s="65"/>
      <c r="C24" s="64"/>
      <c r="D24" s="64"/>
      <c r="E24" s="64"/>
      <c r="F24" s="64"/>
      <c r="G24" s="64"/>
      <c r="H24" s="66"/>
      <c r="I24" s="67"/>
      <c r="J24" s="70" t="str">
        <f t="shared" si="0"/>
        <v/>
      </c>
      <c r="K24" s="64"/>
      <c r="L24" s="65"/>
      <c r="M24" s="64"/>
    </row>
    <row r="25" spans="1:13" x14ac:dyDescent="0.25">
      <c r="A25" s="64"/>
      <c r="B25" s="65"/>
      <c r="C25" s="64"/>
      <c r="D25" s="64"/>
      <c r="E25" s="64"/>
      <c r="F25" s="64"/>
      <c r="G25" s="64"/>
      <c r="H25" s="66"/>
      <c r="I25" s="67"/>
      <c r="J25" s="70" t="str">
        <f t="shared" si="0"/>
        <v/>
      </c>
      <c r="K25" s="64"/>
      <c r="L25" s="65"/>
      <c r="M25" s="64"/>
    </row>
    <row r="26" spans="1:13" x14ac:dyDescent="0.25">
      <c r="A26" s="64"/>
      <c r="B26" s="65"/>
      <c r="C26" s="64"/>
      <c r="D26" s="64"/>
      <c r="E26" s="64"/>
      <c r="F26" s="64"/>
      <c r="G26" s="64"/>
      <c r="H26" s="66"/>
      <c r="I26" s="67"/>
      <c r="J26" s="70" t="str">
        <f t="shared" si="0"/>
        <v/>
      </c>
      <c r="K26" s="64"/>
      <c r="L26" s="65"/>
      <c r="M26" s="64"/>
    </row>
    <row r="27" spans="1:13" x14ac:dyDescent="0.25">
      <c r="A27" s="64"/>
      <c r="B27" s="65"/>
      <c r="C27" s="64"/>
      <c r="D27" s="64"/>
      <c r="E27" s="64"/>
      <c r="F27" s="64"/>
      <c r="G27" s="64"/>
      <c r="H27" s="66"/>
      <c r="I27" s="67"/>
      <c r="J27" s="70" t="str">
        <f t="shared" si="0"/>
        <v/>
      </c>
      <c r="K27" s="64"/>
      <c r="L27" s="65"/>
      <c r="M27" s="64"/>
    </row>
    <row r="28" spans="1:13" x14ac:dyDescent="0.25">
      <c r="A28" s="64"/>
      <c r="B28" s="65"/>
      <c r="C28" s="64"/>
      <c r="D28" s="64"/>
      <c r="E28" s="64"/>
      <c r="F28" s="64"/>
      <c r="G28" s="64"/>
      <c r="H28" s="66"/>
      <c r="I28" s="67"/>
      <c r="J28" s="70" t="str">
        <f t="shared" si="0"/>
        <v/>
      </c>
      <c r="K28" s="64"/>
      <c r="L28" s="65"/>
      <c r="M28" s="64"/>
    </row>
    <row r="29" spans="1:13" x14ac:dyDescent="0.25">
      <c r="A29" s="64"/>
      <c r="B29" s="65"/>
      <c r="C29" s="64"/>
      <c r="D29" s="64"/>
      <c r="E29" s="64"/>
      <c r="F29" s="64"/>
      <c r="G29" s="64"/>
      <c r="H29" s="66"/>
      <c r="I29" s="67"/>
      <c r="J29" s="70" t="str">
        <f t="shared" si="0"/>
        <v/>
      </c>
      <c r="K29" s="64"/>
      <c r="L29" s="65"/>
      <c r="M29" s="64"/>
    </row>
    <row r="30" spans="1:13" x14ac:dyDescent="0.25">
      <c r="A30" s="64"/>
      <c r="B30" s="65"/>
      <c r="C30" s="64"/>
      <c r="D30" s="64"/>
      <c r="E30" s="64"/>
      <c r="F30" s="64"/>
      <c r="G30" s="64"/>
      <c r="H30" s="66"/>
      <c r="I30" s="67"/>
      <c r="J30" s="70" t="str">
        <f t="shared" si="0"/>
        <v/>
      </c>
      <c r="K30" s="64"/>
      <c r="L30" s="65"/>
      <c r="M30" s="64"/>
    </row>
    <row r="31" spans="1:13" x14ac:dyDescent="0.25">
      <c r="A31" s="64"/>
      <c r="B31" s="65"/>
      <c r="C31" s="64"/>
      <c r="D31" s="64"/>
      <c r="E31" s="64"/>
      <c r="F31" s="64"/>
      <c r="G31" s="64"/>
      <c r="H31" s="66"/>
      <c r="I31" s="67"/>
      <c r="J31" s="70" t="str">
        <f t="shared" si="0"/>
        <v/>
      </c>
      <c r="K31" s="64"/>
      <c r="L31" s="65"/>
      <c r="M31" s="64"/>
    </row>
    <row r="32" spans="1:13" x14ac:dyDescent="0.25">
      <c r="A32" s="64"/>
      <c r="B32" s="65"/>
      <c r="C32" s="64"/>
      <c r="D32" s="64"/>
      <c r="E32" s="64"/>
      <c r="F32" s="64"/>
      <c r="G32" s="64"/>
      <c r="H32" s="66"/>
      <c r="I32" s="67"/>
      <c r="J32" s="70" t="str">
        <f t="shared" si="0"/>
        <v/>
      </c>
      <c r="K32" s="64"/>
      <c r="L32" s="65"/>
      <c r="M32" s="64"/>
    </row>
    <row r="33" spans="1:13" x14ac:dyDescent="0.25">
      <c r="A33" s="64"/>
      <c r="B33" s="65"/>
      <c r="C33" s="64"/>
      <c r="D33" s="64"/>
      <c r="E33" s="64"/>
      <c r="F33" s="64"/>
      <c r="G33" s="64"/>
      <c r="H33" s="66"/>
      <c r="I33" s="67"/>
      <c r="J33" s="70" t="str">
        <f t="shared" si="0"/>
        <v/>
      </c>
      <c r="K33" s="64"/>
      <c r="L33" s="65"/>
      <c r="M33" s="64"/>
    </row>
    <row r="34" spans="1:13" x14ac:dyDescent="0.25">
      <c r="A34" s="64"/>
      <c r="B34" s="65"/>
      <c r="C34" s="64"/>
      <c r="D34" s="64"/>
      <c r="E34" s="64"/>
      <c r="F34" s="64"/>
      <c r="G34" s="64"/>
      <c r="H34" s="66"/>
      <c r="I34" s="67"/>
      <c r="J34" s="70" t="str">
        <f t="shared" si="0"/>
        <v/>
      </c>
      <c r="K34" s="64"/>
      <c r="L34" s="65"/>
      <c r="M34" s="64"/>
    </row>
    <row r="35" spans="1:13" x14ac:dyDescent="0.25">
      <c r="A35" s="64"/>
      <c r="B35" s="65"/>
      <c r="C35" s="64"/>
      <c r="D35" s="64"/>
      <c r="E35" s="64"/>
      <c r="F35" s="64"/>
      <c r="G35" s="64"/>
      <c r="H35" s="66"/>
      <c r="I35" s="67"/>
      <c r="J35" s="70" t="str">
        <f t="shared" si="0"/>
        <v/>
      </c>
      <c r="K35" s="64"/>
      <c r="L35" s="65"/>
      <c r="M35" s="64"/>
    </row>
    <row r="36" spans="1:13" x14ac:dyDescent="0.25">
      <c r="A36" s="64"/>
      <c r="B36" s="65"/>
      <c r="C36" s="64"/>
      <c r="D36" s="64"/>
      <c r="E36" s="64"/>
      <c r="F36" s="64"/>
      <c r="G36" s="64"/>
      <c r="H36" s="66"/>
      <c r="I36" s="67"/>
      <c r="J36" s="70" t="str">
        <f t="shared" si="0"/>
        <v/>
      </c>
      <c r="K36" s="64"/>
      <c r="L36" s="65"/>
      <c r="M36" s="64"/>
    </row>
    <row r="37" spans="1:13" x14ac:dyDescent="0.25">
      <c r="A37" s="64"/>
      <c r="B37" s="65"/>
      <c r="C37" s="64"/>
      <c r="D37" s="64"/>
      <c r="E37" s="64"/>
      <c r="F37" s="64"/>
      <c r="G37" s="64"/>
      <c r="H37" s="66"/>
      <c r="I37" s="67"/>
      <c r="J37" s="70" t="str">
        <f t="shared" si="0"/>
        <v/>
      </c>
      <c r="K37" s="64"/>
      <c r="L37" s="65"/>
      <c r="M37" s="64"/>
    </row>
    <row r="38" spans="1:13" x14ac:dyDescent="0.25">
      <c r="A38" s="64"/>
      <c r="B38" s="65"/>
      <c r="C38" s="64"/>
      <c r="D38" s="64"/>
      <c r="E38" s="64"/>
      <c r="F38" s="64"/>
      <c r="G38" s="64"/>
      <c r="H38" s="66"/>
      <c r="I38" s="67"/>
      <c r="J38" s="70" t="str">
        <f t="shared" si="0"/>
        <v/>
      </c>
      <c r="K38" s="64"/>
      <c r="L38" s="65"/>
      <c r="M38" s="64"/>
    </row>
    <row r="39" spans="1:13" x14ac:dyDescent="0.25">
      <c r="A39" s="64"/>
      <c r="B39" s="65"/>
      <c r="C39" s="64"/>
      <c r="D39" s="64"/>
      <c r="E39" s="64"/>
      <c r="F39" s="64"/>
      <c r="G39" s="64"/>
      <c r="H39" s="66"/>
      <c r="I39" s="67"/>
      <c r="J39" s="70" t="str">
        <f t="shared" si="0"/>
        <v/>
      </c>
      <c r="K39" s="64"/>
      <c r="L39" s="65"/>
      <c r="M39" s="64"/>
    </row>
    <row r="40" spans="1:13" x14ac:dyDescent="0.25">
      <c r="A40" s="64"/>
      <c r="B40" s="65"/>
      <c r="C40" s="64"/>
      <c r="D40" s="64"/>
      <c r="E40" s="64"/>
      <c r="F40" s="64"/>
      <c r="G40" s="64"/>
      <c r="H40" s="66"/>
      <c r="I40" s="67"/>
      <c r="J40" s="70" t="str">
        <f t="shared" si="0"/>
        <v/>
      </c>
      <c r="K40" s="64"/>
      <c r="L40" s="65"/>
      <c r="M40" s="64"/>
    </row>
    <row r="41" spans="1:13" x14ac:dyDescent="0.25">
      <c r="A41" s="64"/>
      <c r="B41" s="65"/>
      <c r="C41" s="64"/>
      <c r="D41" s="64"/>
      <c r="E41" s="64"/>
      <c r="F41" s="64"/>
      <c r="G41" s="64"/>
      <c r="H41" s="66"/>
      <c r="I41" s="67"/>
      <c r="J41" s="70" t="str">
        <f t="shared" si="0"/>
        <v/>
      </c>
      <c r="K41" s="64"/>
      <c r="L41" s="65"/>
      <c r="M41" s="64"/>
    </row>
    <row r="42" spans="1:13" x14ac:dyDescent="0.25">
      <c r="A42" s="64"/>
      <c r="B42" s="65"/>
      <c r="C42" s="64"/>
      <c r="D42" s="64"/>
      <c r="E42" s="64"/>
      <c r="F42" s="64"/>
      <c r="G42" s="64"/>
      <c r="H42" s="66"/>
      <c r="I42" s="67"/>
      <c r="J42" s="70" t="str">
        <f t="shared" si="0"/>
        <v/>
      </c>
      <c r="K42" s="64"/>
      <c r="L42" s="65"/>
      <c r="M42" s="64"/>
    </row>
    <row r="43" spans="1:13" x14ac:dyDescent="0.25">
      <c r="A43" s="64"/>
      <c r="B43" s="65"/>
      <c r="C43" s="64"/>
      <c r="D43" s="64"/>
      <c r="E43" s="64"/>
      <c r="F43" s="64"/>
      <c r="G43" s="64"/>
      <c r="H43" s="66"/>
      <c r="I43" s="67"/>
      <c r="J43" s="70" t="str">
        <f t="shared" si="0"/>
        <v/>
      </c>
      <c r="K43" s="64"/>
      <c r="L43" s="65"/>
      <c r="M43" s="64"/>
    </row>
    <row r="44" spans="1:13" x14ac:dyDescent="0.25">
      <c r="A44" s="64"/>
      <c r="B44" s="65"/>
      <c r="C44" s="64"/>
      <c r="D44" s="64"/>
      <c r="E44" s="64"/>
      <c r="F44" s="64"/>
      <c r="G44" s="64"/>
      <c r="H44" s="66"/>
      <c r="I44" s="67"/>
      <c r="J44" s="70" t="str">
        <f t="shared" si="0"/>
        <v/>
      </c>
      <c r="K44" s="64"/>
      <c r="L44" s="65"/>
      <c r="M44" s="64"/>
    </row>
    <row r="45" spans="1:13" x14ac:dyDescent="0.25">
      <c r="A45" s="64"/>
      <c r="B45" s="65"/>
      <c r="C45" s="64"/>
      <c r="D45" s="64"/>
      <c r="E45" s="64"/>
      <c r="F45" s="64"/>
      <c r="G45" s="64"/>
      <c r="H45" s="66"/>
      <c r="I45" s="67"/>
      <c r="J45" s="70" t="str">
        <f t="shared" si="0"/>
        <v/>
      </c>
      <c r="K45" s="64"/>
      <c r="L45" s="65"/>
      <c r="M45" s="64"/>
    </row>
    <row r="46" spans="1:13" x14ac:dyDescent="0.25">
      <c r="A46" s="64"/>
      <c r="B46" s="65"/>
      <c r="C46" s="64"/>
      <c r="D46" s="64"/>
      <c r="E46" s="64"/>
      <c r="F46" s="64"/>
      <c r="G46" s="64"/>
      <c r="H46" s="66"/>
      <c r="I46" s="67"/>
      <c r="J46" s="70" t="str">
        <f t="shared" si="0"/>
        <v/>
      </c>
      <c r="K46" s="64"/>
      <c r="L46" s="65"/>
      <c r="M46" s="64"/>
    </row>
    <row r="47" spans="1:13" x14ac:dyDescent="0.25">
      <c r="A47" s="64"/>
      <c r="B47" s="65"/>
      <c r="C47" s="64"/>
      <c r="D47" s="64"/>
      <c r="E47" s="64"/>
      <c r="F47" s="64"/>
      <c r="G47" s="64"/>
      <c r="H47" s="66"/>
      <c r="I47" s="67"/>
      <c r="J47" s="70" t="str">
        <f t="shared" si="0"/>
        <v/>
      </c>
      <c r="K47" s="64"/>
      <c r="L47" s="65"/>
      <c r="M47" s="64"/>
    </row>
    <row r="48" spans="1:13" x14ac:dyDescent="0.25">
      <c r="A48" s="64"/>
      <c r="B48" s="65"/>
      <c r="C48" s="64"/>
      <c r="D48" s="64"/>
      <c r="E48" s="64"/>
      <c r="F48" s="64"/>
      <c r="G48" s="64"/>
      <c r="H48" s="66"/>
      <c r="I48" s="67"/>
      <c r="J48" s="70" t="str">
        <f t="shared" si="0"/>
        <v/>
      </c>
      <c r="K48" s="64"/>
      <c r="L48" s="65"/>
      <c r="M48" s="64"/>
    </row>
    <row r="49" spans="1:13" x14ac:dyDescent="0.25">
      <c r="A49" s="64"/>
      <c r="B49" s="65"/>
      <c r="C49" s="64"/>
      <c r="D49" s="64"/>
      <c r="E49" s="64"/>
      <c r="F49" s="64"/>
      <c r="G49" s="64"/>
      <c r="H49" s="66"/>
      <c r="I49" s="67"/>
      <c r="J49" s="70" t="str">
        <f t="shared" si="0"/>
        <v/>
      </c>
      <c r="K49" s="64"/>
      <c r="L49" s="65"/>
      <c r="M49" s="64"/>
    </row>
    <row r="50" spans="1:13" x14ac:dyDescent="0.25">
      <c r="A50" s="64"/>
      <c r="B50" s="65"/>
      <c r="C50" s="64"/>
      <c r="D50" s="64"/>
      <c r="E50" s="64"/>
      <c r="F50" s="64"/>
      <c r="G50" s="64"/>
      <c r="H50" s="66"/>
      <c r="I50" s="67"/>
      <c r="J50" s="70" t="str">
        <f t="shared" si="0"/>
        <v/>
      </c>
      <c r="K50" s="64"/>
      <c r="L50" s="65"/>
      <c r="M50" s="64"/>
    </row>
    <row r="51" spans="1:13" x14ac:dyDescent="0.25">
      <c r="A51" s="64"/>
      <c r="B51" s="65"/>
      <c r="C51" s="64"/>
      <c r="D51" s="64"/>
      <c r="E51" s="64"/>
      <c r="F51" s="64"/>
      <c r="G51" s="64"/>
      <c r="H51" s="66"/>
      <c r="I51" s="67"/>
      <c r="J51" s="70" t="str">
        <f t="shared" si="0"/>
        <v/>
      </c>
      <c r="K51" s="64"/>
      <c r="L51" s="65"/>
      <c r="M51" s="64"/>
    </row>
    <row r="52" spans="1:13" x14ac:dyDescent="0.25">
      <c r="A52" s="64"/>
      <c r="B52" s="65"/>
      <c r="C52" s="64"/>
      <c r="D52" s="64"/>
      <c r="E52" s="64"/>
      <c r="F52" s="64"/>
      <c r="G52" s="64"/>
      <c r="H52" s="66"/>
      <c r="I52" s="67"/>
      <c r="J52" s="70" t="str">
        <f t="shared" si="0"/>
        <v/>
      </c>
      <c r="K52" s="64"/>
      <c r="L52" s="65"/>
      <c r="M52" s="64"/>
    </row>
    <row r="53" spans="1:13" x14ac:dyDescent="0.25">
      <c r="A53" s="64"/>
      <c r="B53" s="65"/>
      <c r="C53" s="64"/>
      <c r="D53" s="64"/>
      <c r="E53" s="64"/>
      <c r="F53" s="64"/>
      <c r="G53" s="64"/>
      <c r="H53" s="66"/>
      <c r="I53" s="67"/>
      <c r="J53" s="70" t="str">
        <f t="shared" si="0"/>
        <v/>
      </c>
      <c r="K53" s="64"/>
      <c r="L53" s="65"/>
      <c r="M53" s="64"/>
    </row>
    <row r="54" spans="1:13" x14ac:dyDescent="0.25">
      <c r="A54" s="64"/>
      <c r="B54" s="65"/>
      <c r="C54" s="64"/>
      <c r="D54" s="64"/>
      <c r="E54" s="64"/>
      <c r="F54" s="64"/>
      <c r="G54" s="64"/>
      <c r="H54" s="66"/>
      <c r="I54" s="67"/>
      <c r="J54" s="70" t="str">
        <f t="shared" si="0"/>
        <v/>
      </c>
      <c r="K54" s="64"/>
      <c r="L54" s="65"/>
      <c r="M54" s="64"/>
    </row>
    <row r="55" spans="1:13" x14ac:dyDescent="0.25">
      <c r="A55" s="64"/>
      <c r="B55" s="65"/>
      <c r="C55" s="64"/>
      <c r="D55" s="64"/>
      <c r="E55" s="64"/>
      <c r="F55" s="64"/>
      <c r="G55" s="64"/>
      <c r="H55" s="66"/>
      <c r="I55" s="67"/>
      <c r="J55" s="70" t="str">
        <f t="shared" si="0"/>
        <v/>
      </c>
      <c r="K55" s="64"/>
      <c r="L55" s="65"/>
      <c r="M55" s="64"/>
    </row>
    <row r="56" spans="1:13" x14ac:dyDescent="0.25">
      <c r="A56" s="64"/>
      <c r="B56" s="65"/>
      <c r="C56" s="64"/>
      <c r="D56" s="64"/>
      <c r="E56" s="64"/>
      <c r="F56" s="64"/>
      <c r="G56" s="64"/>
      <c r="H56" s="66"/>
      <c r="I56" s="67"/>
      <c r="J56" s="70" t="str">
        <f t="shared" si="0"/>
        <v/>
      </c>
      <c r="K56" s="64"/>
      <c r="L56" s="65"/>
      <c r="M56" s="64"/>
    </row>
    <row r="57" spans="1:13" x14ac:dyDescent="0.25">
      <c r="A57" s="64"/>
      <c r="B57" s="65"/>
      <c r="C57" s="64"/>
      <c r="D57" s="64"/>
      <c r="E57" s="64"/>
      <c r="F57" s="64"/>
      <c r="G57" s="64"/>
      <c r="H57" s="66"/>
      <c r="I57" s="67"/>
      <c r="J57" s="70" t="str">
        <f t="shared" si="0"/>
        <v/>
      </c>
      <c r="K57" s="64"/>
      <c r="L57" s="65"/>
      <c r="M57" s="64"/>
    </row>
    <row r="58" spans="1:13" x14ac:dyDescent="0.25">
      <c r="A58" s="64"/>
      <c r="B58" s="65"/>
      <c r="C58" s="64"/>
      <c r="D58" s="64"/>
      <c r="E58" s="64"/>
      <c r="F58" s="64"/>
      <c r="G58" s="64"/>
      <c r="H58" s="66"/>
      <c r="I58" s="67"/>
      <c r="J58" s="70" t="str">
        <f t="shared" si="0"/>
        <v/>
      </c>
      <c r="K58" s="64"/>
      <c r="L58" s="65"/>
      <c r="M58" s="64"/>
    </row>
    <row r="59" spans="1:13" x14ac:dyDescent="0.25">
      <c r="A59" s="64"/>
      <c r="B59" s="65"/>
      <c r="C59" s="64"/>
      <c r="D59" s="64"/>
      <c r="E59" s="64"/>
      <c r="F59" s="64"/>
      <c r="G59" s="64"/>
      <c r="H59" s="66"/>
      <c r="I59" s="67"/>
      <c r="J59" s="70" t="str">
        <f t="shared" si="0"/>
        <v/>
      </c>
      <c r="K59" s="64"/>
      <c r="L59" s="65"/>
      <c r="M59" s="64"/>
    </row>
    <row r="60" spans="1:13" x14ac:dyDescent="0.25">
      <c r="A60" s="64"/>
      <c r="B60" s="65"/>
      <c r="C60" s="64"/>
      <c r="D60" s="64"/>
      <c r="E60" s="64"/>
      <c r="F60" s="64"/>
      <c r="G60" s="64"/>
      <c r="H60" s="66"/>
      <c r="I60" s="67"/>
      <c r="J60" s="70" t="str">
        <f t="shared" si="0"/>
        <v/>
      </c>
      <c r="K60" s="64"/>
      <c r="L60" s="65"/>
      <c r="M60" s="64"/>
    </row>
    <row r="61" spans="1:13" x14ac:dyDescent="0.25">
      <c r="A61" s="64"/>
      <c r="B61" s="65"/>
      <c r="C61" s="64"/>
      <c r="D61" s="64"/>
      <c r="E61" s="64"/>
      <c r="F61" s="64"/>
      <c r="G61" s="64"/>
      <c r="H61" s="66"/>
      <c r="I61" s="67"/>
      <c r="J61" s="70" t="str">
        <f t="shared" si="0"/>
        <v/>
      </c>
      <c r="K61" s="64"/>
      <c r="L61" s="65"/>
      <c r="M61" s="64"/>
    </row>
    <row r="62" spans="1:13" x14ac:dyDescent="0.25">
      <c r="A62" s="64"/>
      <c r="B62" s="65"/>
      <c r="C62" s="64"/>
      <c r="D62" s="64"/>
      <c r="E62" s="64"/>
      <c r="F62" s="64"/>
      <c r="G62" s="64"/>
      <c r="H62" s="66"/>
      <c r="I62" s="67"/>
      <c r="J62" s="70" t="str">
        <f t="shared" si="0"/>
        <v/>
      </c>
      <c r="K62" s="64"/>
      <c r="L62" s="65"/>
      <c r="M62" s="64"/>
    </row>
    <row r="63" spans="1:13" x14ac:dyDescent="0.25">
      <c r="A63" s="64"/>
      <c r="B63" s="65"/>
      <c r="C63" s="64"/>
      <c r="D63" s="64"/>
      <c r="E63" s="64"/>
      <c r="F63" s="64"/>
      <c r="G63" s="64"/>
      <c r="H63" s="66"/>
      <c r="I63" s="67"/>
      <c r="J63" s="70" t="str">
        <f t="shared" si="0"/>
        <v/>
      </c>
      <c r="K63" s="64"/>
      <c r="L63" s="65"/>
      <c r="M63" s="64"/>
    </row>
    <row r="64" spans="1:13" x14ac:dyDescent="0.25">
      <c r="A64" s="64"/>
      <c r="B64" s="65"/>
      <c r="C64" s="64"/>
      <c r="D64" s="64"/>
      <c r="E64" s="64"/>
      <c r="F64" s="64"/>
      <c r="G64" s="64"/>
      <c r="H64" s="66"/>
      <c r="I64" s="67"/>
      <c r="J64" s="70" t="str">
        <f t="shared" si="0"/>
        <v/>
      </c>
      <c r="K64" s="64"/>
      <c r="L64" s="65"/>
      <c r="M64" s="64"/>
    </row>
    <row r="65" spans="1:13" x14ac:dyDescent="0.25">
      <c r="A65" s="64"/>
      <c r="B65" s="65"/>
      <c r="C65" s="64"/>
      <c r="D65" s="64"/>
      <c r="E65" s="64"/>
      <c r="F65" s="64"/>
      <c r="G65" s="64"/>
      <c r="H65" s="66"/>
      <c r="I65" s="67"/>
      <c r="J65" s="70" t="str">
        <f t="shared" si="0"/>
        <v/>
      </c>
      <c r="K65" s="64"/>
      <c r="L65" s="65"/>
      <c r="M65" s="64"/>
    </row>
    <row r="66" spans="1:13" x14ac:dyDescent="0.25">
      <c r="A66" s="64"/>
      <c r="B66" s="65"/>
      <c r="C66" s="64"/>
      <c r="D66" s="64"/>
      <c r="E66" s="64"/>
      <c r="F66" s="64"/>
      <c r="G66" s="64"/>
      <c r="H66" s="66"/>
      <c r="I66" s="67"/>
      <c r="J66" s="70" t="str">
        <f t="shared" si="0"/>
        <v/>
      </c>
      <c r="K66" s="64"/>
      <c r="L66" s="65"/>
      <c r="M66" s="64"/>
    </row>
    <row r="67" spans="1:13" x14ac:dyDescent="0.25">
      <c r="A67" s="64"/>
      <c r="B67" s="65"/>
      <c r="C67" s="64"/>
      <c r="D67" s="64"/>
      <c r="E67" s="64"/>
      <c r="F67" s="64"/>
      <c r="G67" s="64"/>
      <c r="H67" s="66"/>
      <c r="I67" s="67"/>
      <c r="J67" s="70" t="str">
        <f t="shared" ref="J67:J130" si="1">IFERROR(IF(OR(H67="",I67=""),"",H67*I67),"")</f>
        <v/>
      </c>
      <c r="K67" s="64"/>
      <c r="L67" s="65"/>
      <c r="M67" s="64"/>
    </row>
    <row r="68" spans="1:13" x14ac:dyDescent="0.25">
      <c r="A68" s="64"/>
      <c r="B68" s="65"/>
      <c r="C68" s="64"/>
      <c r="D68" s="64"/>
      <c r="E68" s="64"/>
      <c r="F68" s="64"/>
      <c r="G68" s="64"/>
      <c r="H68" s="66"/>
      <c r="I68" s="67"/>
      <c r="J68" s="70" t="str">
        <f t="shared" si="1"/>
        <v/>
      </c>
      <c r="K68" s="64"/>
      <c r="L68" s="65"/>
      <c r="M68" s="64"/>
    </row>
    <row r="69" spans="1:13" x14ac:dyDescent="0.25">
      <c r="A69" s="64"/>
      <c r="B69" s="65"/>
      <c r="C69" s="64"/>
      <c r="D69" s="64"/>
      <c r="E69" s="64"/>
      <c r="F69" s="64"/>
      <c r="G69" s="64"/>
      <c r="H69" s="66"/>
      <c r="I69" s="67"/>
      <c r="J69" s="70" t="str">
        <f t="shared" si="1"/>
        <v/>
      </c>
      <c r="K69" s="64"/>
      <c r="L69" s="65"/>
      <c r="M69" s="64"/>
    </row>
    <row r="70" spans="1:13" x14ac:dyDescent="0.25">
      <c r="A70" s="64"/>
      <c r="B70" s="65"/>
      <c r="C70" s="64"/>
      <c r="D70" s="64"/>
      <c r="E70" s="64"/>
      <c r="F70" s="64"/>
      <c r="G70" s="64"/>
      <c r="H70" s="66"/>
      <c r="I70" s="67"/>
      <c r="J70" s="70" t="str">
        <f t="shared" si="1"/>
        <v/>
      </c>
      <c r="K70" s="64"/>
      <c r="L70" s="65"/>
      <c r="M70" s="64"/>
    </row>
    <row r="71" spans="1:13" x14ac:dyDescent="0.25">
      <c r="A71" s="64"/>
      <c r="B71" s="65"/>
      <c r="C71" s="64"/>
      <c r="D71" s="64"/>
      <c r="E71" s="64"/>
      <c r="F71" s="64"/>
      <c r="G71" s="64"/>
      <c r="H71" s="66"/>
      <c r="I71" s="67"/>
      <c r="J71" s="70" t="str">
        <f t="shared" si="1"/>
        <v/>
      </c>
      <c r="K71" s="64"/>
      <c r="L71" s="65"/>
      <c r="M71" s="64"/>
    </row>
    <row r="72" spans="1:13" x14ac:dyDescent="0.25">
      <c r="A72" s="64"/>
      <c r="B72" s="65"/>
      <c r="C72" s="64"/>
      <c r="D72" s="64"/>
      <c r="E72" s="64"/>
      <c r="F72" s="64"/>
      <c r="G72" s="64"/>
      <c r="H72" s="66"/>
      <c r="I72" s="67"/>
      <c r="J72" s="70" t="str">
        <f t="shared" si="1"/>
        <v/>
      </c>
      <c r="K72" s="64"/>
      <c r="L72" s="65"/>
      <c r="M72" s="64"/>
    </row>
    <row r="73" spans="1:13" x14ac:dyDescent="0.25">
      <c r="A73" s="64"/>
      <c r="B73" s="65"/>
      <c r="C73" s="64"/>
      <c r="D73" s="64"/>
      <c r="E73" s="64"/>
      <c r="F73" s="64"/>
      <c r="G73" s="64"/>
      <c r="H73" s="66"/>
      <c r="I73" s="67"/>
      <c r="J73" s="70" t="str">
        <f t="shared" si="1"/>
        <v/>
      </c>
      <c r="K73" s="64"/>
      <c r="L73" s="65"/>
      <c r="M73" s="64"/>
    </row>
    <row r="74" spans="1:13" x14ac:dyDescent="0.25">
      <c r="A74" s="64"/>
      <c r="B74" s="65"/>
      <c r="C74" s="64"/>
      <c r="D74" s="64"/>
      <c r="E74" s="64"/>
      <c r="F74" s="64"/>
      <c r="G74" s="64"/>
      <c r="H74" s="66"/>
      <c r="I74" s="67"/>
      <c r="J74" s="70" t="str">
        <f t="shared" si="1"/>
        <v/>
      </c>
      <c r="K74" s="64"/>
      <c r="L74" s="65"/>
      <c r="M74" s="64"/>
    </row>
    <row r="75" spans="1:13" x14ac:dyDescent="0.25">
      <c r="A75" s="64"/>
      <c r="B75" s="65"/>
      <c r="C75" s="64"/>
      <c r="D75" s="64"/>
      <c r="E75" s="64"/>
      <c r="F75" s="64"/>
      <c r="G75" s="64"/>
      <c r="H75" s="66"/>
      <c r="I75" s="67"/>
      <c r="J75" s="70" t="str">
        <f t="shared" si="1"/>
        <v/>
      </c>
      <c r="K75" s="64"/>
      <c r="L75" s="65"/>
      <c r="M75" s="64"/>
    </row>
    <row r="76" spans="1:13" x14ac:dyDescent="0.25">
      <c r="A76" s="64"/>
      <c r="B76" s="65"/>
      <c r="C76" s="64"/>
      <c r="D76" s="64"/>
      <c r="E76" s="64"/>
      <c r="F76" s="64"/>
      <c r="G76" s="64"/>
      <c r="H76" s="66"/>
      <c r="I76" s="67"/>
      <c r="J76" s="70" t="str">
        <f t="shared" si="1"/>
        <v/>
      </c>
      <c r="K76" s="64"/>
      <c r="L76" s="65"/>
      <c r="M76" s="64"/>
    </row>
    <row r="77" spans="1:13" x14ac:dyDescent="0.25">
      <c r="A77" s="64"/>
      <c r="B77" s="65"/>
      <c r="C77" s="64"/>
      <c r="D77" s="64"/>
      <c r="E77" s="64"/>
      <c r="F77" s="64"/>
      <c r="G77" s="64"/>
      <c r="H77" s="66"/>
      <c r="I77" s="67"/>
      <c r="J77" s="70" t="str">
        <f t="shared" si="1"/>
        <v/>
      </c>
      <c r="K77" s="64"/>
      <c r="L77" s="65"/>
      <c r="M77" s="64"/>
    </row>
    <row r="78" spans="1:13" x14ac:dyDescent="0.25">
      <c r="A78" s="64"/>
      <c r="B78" s="65"/>
      <c r="C78" s="64"/>
      <c r="D78" s="64"/>
      <c r="E78" s="64"/>
      <c r="F78" s="64"/>
      <c r="G78" s="64"/>
      <c r="H78" s="66"/>
      <c r="I78" s="67"/>
      <c r="J78" s="70" t="str">
        <f t="shared" si="1"/>
        <v/>
      </c>
      <c r="K78" s="64"/>
      <c r="L78" s="65"/>
      <c r="M78" s="64"/>
    </row>
    <row r="79" spans="1:13" x14ac:dyDescent="0.25">
      <c r="A79" s="64"/>
      <c r="B79" s="65"/>
      <c r="C79" s="64"/>
      <c r="D79" s="64"/>
      <c r="E79" s="64"/>
      <c r="F79" s="64"/>
      <c r="G79" s="64"/>
      <c r="H79" s="66"/>
      <c r="I79" s="67"/>
      <c r="J79" s="70" t="str">
        <f t="shared" si="1"/>
        <v/>
      </c>
      <c r="K79" s="64"/>
      <c r="L79" s="65"/>
      <c r="M79" s="64"/>
    </row>
    <row r="80" spans="1:13" x14ac:dyDescent="0.25">
      <c r="A80" s="64"/>
      <c r="B80" s="65"/>
      <c r="C80" s="64"/>
      <c r="D80" s="64"/>
      <c r="E80" s="64"/>
      <c r="F80" s="64"/>
      <c r="G80" s="64"/>
      <c r="H80" s="66"/>
      <c r="I80" s="67"/>
      <c r="J80" s="70" t="str">
        <f t="shared" si="1"/>
        <v/>
      </c>
      <c r="K80" s="64"/>
      <c r="L80" s="65"/>
      <c r="M80" s="64"/>
    </row>
    <row r="81" spans="1:13" x14ac:dyDescent="0.25">
      <c r="A81" s="64"/>
      <c r="B81" s="65"/>
      <c r="C81" s="64"/>
      <c r="D81" s="64"/>
      <c r="E81" s="64"/>
      <c r="F81" s="64"/>
      <c r="G81" s="64"/>
      <c r="H81" s="66"/>
      <c r="I81" s="67"/>
      <c r="J81" s="70" t="str">
        <f t="shared" si="1"/>
        <v/>
      </c>
      <c r="K81" s="64"/>
      <c r="L81" s="65"/>
      <c r="M81" s="64"/>
    </row>
    <row r="82" spans="1:13" x14ac:dyDescent="0.25">
      <c r="A82" s="64"/>
      <c r="B82" s="65"/>
      <c r="C82" s="64"/>
      <c r="D82" s="64"/>
      <c r="E82" s="64"/>
      <c r="F82" s="64"/>
      <c r="G82" s="64"/>
      <c r="H82" s="66"/>
      <c r="I82" s="67"/>
      <c r="J82" s="70" t="str">
        <f t="shared" si="1"/>
        <v/>
      </c>
      <c r="K82" s="64"/>
      <c r="L82" s="65"/>
      <c r="M82" s="64"/>
    </row>
    <row r="83" spans="1:13" x14ac:dyDescent="0.25">
      <c r="A83" s="64"/>
      <c r="B83" s="65"/>
      <c r="C83" s="64"/>
      <c r="D83" s="64"/>
      <c r="E83" s="64"/>
      <c r="F83" s="64"/>
      <c r="G83" s="64"/>
      <c r="H83" s="66"/>
      <c r="I83" s="67"/>
      <c r="J83" s="70" t="str">
        <f t="shared" si="1"/>
        <v/>
      </c>
      <c r="K83" s="64"/>
      <c r="L83" s="65"/>
      <c r="M83" s="64"/>
    </row>
    <row r="84" spans="1:13" x14ac:dyDescent="0.25">
      <c r="A84" s="64"/>
      <c r="B84" s="65"/>
      <c r="C84" s="64"/>
      <c r="D84" s="64"/>
      <c r="E84" s="64"/>
      <c r="F84" s="64"/>
      <c r="G84" s="64"/>
      <c r="H84" s="66"/>
      <c r="I84" s="67"/>
      <c r="J84" s="70" t="str">
        <f t="shared" si="1"/>
        <v/>
      </c>
      <c r="K84" s="64"/>
      <c r="L84" s="65"/>
      <c r="M84" s="64"/>
    </row>
    <row r="85" spans="1:13" x14ac:dyDescent="0.25">
      <c r="A85" s="64"/>
      <c r="B85" s="65"/>
      <c r="C85" s="64"/>
      <c r="D85" s="64"/>
      <c r="E85" s="64"/>
      <c r="F85" s="64"/>
      <c r="G85" s="64"/>
      <c r="H85" s="66"/>
      <c r="I85" s="67"/>
      <c r="J85" s="70" t="str">
        <f t="shared" si="1"/>
        <v/>
      </c>
      <c r="K85" s="64"/>
      <c r="L85" s="65"/>
      <c r="M85" s="64"/>
    </row>
    <row r="86" spans="1:13" x14ac:dyDescent="0.25">
      <c r="A86" s="64"/>
      <c r="B86" s="65"/>
      <c r="C86" s="64"/>
      <c r="D86" s="64"/>
      <c r="E86" s="64"/>
      <c r="F86" s="64"/>
      <c r="G86" s="64"/>
      <c r="H86" s="66"/>
      <c r="I86" s="67"/>
      <c r="J86" s="70" t="str">
        <f t="shared" si="1"/>
        <v/>
      </c>
      <c r="K86" s="64"/>
      <c r="L86" s="65"/>
      <c r="M86" s="64"/>
    </row>
    <row r="87" spans="1:13" x14ac:dyDescent="0.25">
      <c r="A87" s="64"/>
      <c r="B87" s="65"/>
      <c r="C87" s="64"/>
      <c r="D87" s="64"/>
      <c r="E87" s="64"/>
      <c r="F87" s="64"/>
      <c r="G87" s="64"/>
      <c r="H87" s="66"/>
      <c r="I87" s="67"/>
      <c r="J87" s="70" t="str">
        <f t="shared" si="1"/>
        <v/>
      </c>
      <c r="K87" s="64"/>
      <c r="L87" s="65"/>
      <c r="M87" s="64"/>
    </row>
    <row r="88" spans="1:13" x14ac:dyDescent="0.25">
      <c r="A88" s="64"/>
      <c r="B88" s="65"/>
      <c r="C88" s="64"/>
      <c r="D88" s="64"/>
      <c r="E88" s="64"/>
      <c r="F88" s="64"/>
      <c r="G88" s="64"/>
      <c r="H88" s="66"/>
      <c r="I88" s="67"/>
      <c r="J88" s="70" t="str">
        <f t="shared" si="1"/>
        <v/>
      </c>
      <c r="K88" s="64"/>
      <c r="L88" s="65"/>
      <c r="M88" s="64"/>
    </row>
    <row r="89" spans="1:13" x14ac:dyDescent="0.25">
      <c r="A89" s="64"/>
      <c r="B89" s="65"/>
      <c r="C89" s="64"/>
      <c r="D89" s="64"/>
      <c r="E89" s="64"/>
      <c r="F89" s="64"/>
      <c r="G89" s="64"/>
      <c r="H89" s="66"/>
      <c r="I89" s="67"/>
      <c r="J89" s="70" t="str">
        <f t="shared" si="1"/>
        <v/>
      </c>
      <c r="K89" s="64"/>
      <c r="L89" s="65"/>
      <c r="M89" s="64"/>
    </row>
    <row r="90" spans="1:13" x14ac:dyDescent="0.25">
      <c r="A90" s="64"/>
      <c r="B90" s="65"/>
      <c r="C90" s="64"/>
      <c r="D90" s="64"/>
      <c r="E90" s="64"/>
      <c r="F90" s="64"/>
      <c r="G90" s="64"/>
      <c r="H90" s="66"/>
      <c r="I90" s="67"/>
      <c r="J90" s="70" t="str">
        <f t="shared" si="1"/>
        <v/>
      </c>
      <c r="K90" s="64"/>
      <c r="L90" s="65"/>
      <c r="M90" s="64"/>
    </row>
    <row r="91" spans="1:13" x14ac:dyDescent="0.25">
      <c r="A91" s="64"/>
      <c r="B91" s="65"/>
      <c r="C91" s="64"/>
      <c r="D91" s="64"/>
      <c r="E91" s="64"/>
      <c r="F91" s="64"/>
      <c r="G91" s="64"/>
      <c r="H91" s="66"/>
      <c r="I91" s="67"/>
      <c r="J91" s="70" t="str">
        <f t="shared" si="1"/>
        <v/>
      </c>
      <c r="K91" s="64"/>
      <c r="L91" s="65"/>
      <c r="M91" s="64"/>
    </row>
    <row r="92" spans="1:13" x14ac:dyDescent="0.25">
      <c r="A92" s="64"/>
      <c r="B92" s="65"/>
      <c r="C92" s="64"/>
      <c r="D92" s="64"/>
      <c r="E92" s="64"/>
      <c r="F92" s="64"/>
      <c r="G92" s="64"/>
      <c r="H92" s="66"/>
      <c r="I92" s="67"/>
      <c r="J92" s="70" t="str">
        <f t="shared" si="1"/>
        <v/>
      </c>
      <c r="K92" s="64"/>
      <c r="L92" s="65"/>
      <c r="M92" s="64"/>
    </row>
    <row r="93" spans="1:13" x14ac:dyDescent="0.25">
      <c r="A93" s="64"/>
      <c r="B93" s="65"/>
      <c r="C93" s="64"/>
      <c r="D93" s="64"/>
      <c r="E93" s="64"/>
      <c r="F93" s="64"/>
      <c r="G93" s="64"/>
      <c r="H93" s="66"/>
      <c r="I93" s="67"/>
      <c r="J93" s="70" t="str">
        <f t="shared" si="1"/>
        <v/>
      </c>
      <c r="K93" s="64"/>
      <c r="L93" s="65"/>
      <c r="M93" s="64"/>
    </row>
    <row r="94" spans="1:13" x14ac:dyDescent="0.25">
      <c r="A94" s="64"/>
      <c r="B94" s="65"/>
      <c r="C94" s="64"/>
      <c r="D94" s="64"/>
      <c r="E94" s="64"/>
      <c r="F94" s="64"/>
      <c r="G94" s="64"/>
      <c r="H94" s="66"/>
      <c r="I94" s="67"/>
      <c r="J94" s="70" t="str">
        <f t="shared" si="1"/>
        <v/>
      </c>
      <c r="K94" s="64"/>
      <c r="L94" s="65"/>
      <c r="M94" s="64"/>
    </row>
    <row r="95" spans="1:13" x14ac:dyDescent="0.25">
      <c r="A95" s="64"/>
      <c r="B95" s="65"/>
      <c r="C95" s="64"/>
      <c r="D95" s="64"/>
      <c r="E95" s="64"/>
      <c r="F95" s="64"/>
      <c r="G95" s="64"/>
      <c r="H95" s="66"/>
      <c r="I95" s="67"/>
      <c r="J95" s="70" t="str">
        <f t="shared" si="1"/>
        <v/>
      </c>
      <c r="K95" s="64"/>
      <c r="L95" s="65"/>
      <c r="M95" s="64"/>
    </row>
    <row r="96" spans="1:13" x14ac:dyDescent="0.25">
      <c r="A96" s="64"/>
      <c r="B96" s="65"/>
      <c r="C96" s="64"/>
      <c r="D96" s="64"/>
      <c r="E96" s="64"/>
      <c r="F96" s="64"/>
      <c r="G96" s="64"/>
      <c r="H96" s="66"/>
      <c r="I96" s="67"/>
      <c r="J96" s="70" t="str">
        <f t="shared" si="1"/>
        <v/>
      </c>
      <c r="K96" s="64"/>
      <c r="L96" s="65"/>
      <c r="M96" s="64"/>
    </row>
    <row r="97" spans="1:13" x14ac:dyDescent="0.25">
      <c r="A97" s="64"/>
      <c r="B97" s="65"/>
      <c r="C97" s="64"/>
      <c r="D97" s="64"/>
      <c r="E97" s="64"/>
      <c r="F97" s="64"/>
      <c r="G97" s="64"/>
      <c r="H97" s="66"/>
      <c r="I97" s="67"/>
      <c r="J97" s="70" t="str">
        <f t="shared" si="1"/>
        <v/>
      </c>
      <c r="K97" s="64"/>
      <c r="L97" s="65"/>
      <c r="M97" s="64"/>
    </row>
    <row r="98" spans="1:13" x14ac:dyDescent="0.25">
      <c r="A98" s="64"/>
      <c r="B98" s="65"/>
      <c r="C98" s="64"/>
      <c r="D98" s="64"/>
      <c r="E98" s="64"/>
      <c r="F98" s="64"/>
      <c r="G98" s="64"/>
      <c r="H98" s="66"/>
      <c r="I98" s="67"/>
      <c r="J98" s="70" t="str">
        <f t="shared" si="1"/>
        <v/>
      </c>
      <c r="K98" s="64"/>
      <c r="L98" s="65"/>
      <c r="M98" s="64"/>
    </row>
    <row r="99" spans="1:13" x14ac:dyDescent="0.25">
      <c r="A99" s="64"/>
      <c r="B99" s="65"/>
      <c r="C99" s="64"/>
      <c r="D99" s="64"/>
      <c r="E99" s="64"/>
      <c r="F99" s="64"/>
      <c r="G99" s="64"/>
      <c r="H99" s="66"/>
      <c r="I99" s="67"/>
      <c r="J99" s="70" t="str">
        <f t="shared" si="1"/>
        <v/>
      </c>
      <c r="K99" s="64"/>
      <c r="L99" s="65"/>
      <c r="M99" s="64"/>
    </row>
    <row r="100" spans="1:13" x14ac:dyDescent="0.25">
      <c r="A100" s="64"/>
      <c r="B100" s="65"/>
      <c r="C100" s="64"/>
      <c r="D100" s="64"/>
      <c r="E100" s="64"/>
      <c r="F100" s="64"/>
      <c r="G100" s="64"/>
      <c r="H100" s="66"/>
      <c r="I100" s="67"/>
      <c r="J100" s="70" t="str">
        <f t="shared" si="1"/>
        <v/>
      </c>
      <c r="K100" s="64"/>
      <c r="L100" s="65"/>
      <c r="M100" s="64"/>
    </row>
    <row r="101" spans="1:13" x14ac:dyDescent="0.25">
      <c r="A101" s="64"/>
      <c r="B101" s="65"/>
      <c r="C101" s="64"/>
      <c r="D101" s="64"/>
      <c r="E101" s="64"/>
      <c r="F101" s="64"/>
      <c r="G101" s="64"/>
      <c r="H101" s="66"/>
      <c r="I101" s="67"/>
      <c r="J101" s="70" t="str">
        <f t="shared" si="1"/>
        <v/>
      </c>
      <c r="K101" s="64"/>
      <c r="L101" s="65"/>
      <c r="M101" s="64"/>
    </row>
    <row r="102" spans="1:13" x14ac:dyDescent="0.25">
      <c r="A102" s="64"/>
      <c r="B102" s="65"/>
      <c r="C102" s="64"/>
      <c r="D102" s="64"/>
      <c r="E102" s="64"/>
      <c r="F102" s="64"/>
      <c r="G102" s="64"/>
      <c r="H102" s="66"/>
      <c r="I102" s="67"/>
      <c r="J102" s="70" t="str">
        <f t="shared" si="1"/>
        <v/>
      </c>
      <c r="K102" s="64"/>
      <c r="L102" s="65"/>
      <c r="M102" s="64"/>
    </row>
    <row r="103" spans="1:13" x14ac:dyDescent="0.25">
      <c r="A103" s="64"/>
      <c r="B103" s="65"/>
      <c r="C103" s="64"/>
      <c r="D103" s="64"/>
      <c r="E103" s="64"/>
      <c r="F103" s="64"/>
      <c r="G103" s="64"/>
      <c r="H103" s="66"/>
      <c r="I103" s="67"/>
      <c r="J103" s="70" t="str">
        <f t="shared" si="1"/>
        <v/>
      </c>
      <c r="K103" s="64"/>
      <c r="L103" s="65"/>
      <c r="M103" s="64"/>
    </row>
    <row r="104" spans="1:13" x14ac:dyDescent="0.25">
      <c r="A104" s="64"/>
      <c r="B104" s="65"/>
      <c r="C104" s="64"/>
      <c r="D104" s="64"/>
      <c r="E104" s="64"/>
      <c r="F104" s="64"/>
      <c r="G104" s="64"/>
      <c r="H104" s="66"/>
      <c r="I104" s="67"/>
      <c r="J104" s="70" t="str">
        <f t="shared" si="1"/>
        <v/>
      </c>
      <c r="K104" s="64"/>
      <c r="L104" s="65"/>
      <c r="M104" s="64"/>
    </row>
    <row r="105" spans="1:13" x14ac:dyDescent="0.25">
      <c r="A105" s="64"/>
      <c r="B105" s="65"/>
      <c r="C105" s="64"/>
      <c r="D105" s="64"/>
      <c r="E105" s="64"/>
      <c r="F105" s="64"/>
      <c r="G105" s="64"/>
      <c r="H105" s="66"/>
      <c r="I105" s="67"/>
      <c r="J105" s="70" t="str">
        <f t="shared" si="1"/>
        <v/>
      </c>
      <c r="K105" s="64"/>
      <c r="L105" s="65"/>
      <c r="M105" s="64"/>
    </row>
    <row r="106" spans="1:13" x14ac:dyDescent="0.25">
      <c r="A106" s="64"/>
      <c r="B106" s="65"/>
      <c r="C106" s="64"/>
      <c r="D106" s="64"/>
      <c r="E106" s="64"/>
      <c r="F106" s="64"/>
      <c r="G106" s="64"/>
      <c r="H106" s="66"/>
      <c r="I106" s="67"/>
      <c r="J106" s="70" t="str">
        <f t="shared" si="1"/>
        <v/>
      </c>
      <c r="K106" s="64"/>
      <c r="L106" s="65"/>
      <c r="M106" s="64"/>
    </row>
    <row r="107" spans="1:13" x14ac:dyDescent="0.25">
      <c r="A107" s="64"/>
      <c r="B107" s="65"/>
      <c r="C107" s="64"/>
      <c r="D107" s="64"/>
      <c r="E107" s="64"/>
      <c r="F107" s="64"/>
      <c r="G107" s="64"/>
      <c r="H107" s="66"/>
      <c r="I107" s="67"/>
      <c r="J107" s="70" t="str">
        <f t="shared" si="1"/>
        <v/>
      </c>
      <c r="K107" s="64"/>
      <c r="L107" s="65"/>
      <c r="M107" s="64"/>
    </row>
    <row r="108" spans="1:13" x14ac:dyDescent="0.25">
      <c r="A108" s="64"/>
      <c r="B108" s="65"/>
      <c r="C108" s="64"/>
      <c r="D108" s="64"/>
      <c r="E108" s="64"/>
      <c r="F108" s="64"/>
      <c r="G108" s="64"/>
      <c r="H108" s="66"/>
      <c r="I108" s="67"/>
      <c r="J108" s="70" t="str">
        <f t="shared" si="1"/>
        <v/>
      </c>
      <c r="K108" s="64"/>
      <c r="L108" s="65"/>
      <c r="M108" s="64"/>
    </row>
    <row r="109" spans="1:13" x14ac:dyDescent="0.25">
      <c r="A109" s="64"/>
      <c r="B109" s="65"/>
      <c r="C109" s="64"/>
      <c r="D109" s="64"/>
      <c r="E109" s="64"/>
      <c r="F109" s="64"/>
      <c r="G109" s="64"/>
      <c r="H109" s="66"/>
      <c r="I109" s="67"/>
      <c r="J109" s="70" t="str">
        <f t="shared" si="1"/>
        <v/>
      </c>
      <c r="K109" s="64"/>
      <c r="L109" s="65"/>
      <c r="M109" s="64"/>
    </row>
    <row r="110" spans="1:13" x14ac:dyDescent="0.25">
      <c r="A110" s="64"/>
      <c r="B110" s="65"/>
      <c r="C110" s="64"/>
      <c r="D110" s="64"/>
      <c r="E110" s="64"/>
      <c r="F110" s="64"/>
      <c r="G110" s="64"/>
      <c r="H110" s="66"/>
      <c r="I110" s="67"/>
      <c r="J110" s="70" t="str">
        <f t="shared" si="1"/>
        <v/>
      </c>
      <c r="K110" s="64"/>
      <c r="L110" s="65"/>
      <c r="M110" s="64"/>
    </row>
    <row r="111" spans="1:13" x14ac:dyDescent="0.25">
      <c r="A111" s="64"/>
      <c r="B111" s="65"/>
      <c r="C111" s="64"/>
      <c r="D111" s="64"/>
      <c r="E111" s="64"/>
      <c r="F111" s="64"/>
      <c r="G111" s="64"/>
      <c r="H111" s="66"/>
      <c r="I111" s="67"/>
      <c r="J111" s="70" t="str">
        <f t="shared" si="1"/>
        <v/>
      </c>
      <c r="K111" s="64"/>
      <c r="L111" s="65"/>
      <c r="M111" s="64"/>
    </row>
    <row r="112" spans="1:13" x14ac:dyDescent="0.25">
      <c r="A112" s="64"/>
      <c r="B112" s="65"/>
      <c r="C112" s="64"/>
      <c r="D112" s="64"/>
      <c r="E112" s="64"/>
      <c r="F112" s="64"/>
      <c r="G112" s="64"/>
      <c r="H112" s="66"/>
      <c r="I112" s="67"/>
      <c r="J112" s="70" t="str">
        <f t="shared" si="1"/>
        <v/>
      </c>
      <c r="K112" s="64"/>
      <c r="L112" s="65"/>
      <c r="M112" s="64"/>
    </row>
    <row r="113" spans="1:13" x14ac:dyDescent="0.25">
      <c r="A113" s="64"/>
      <c r="B113" s="65"/>
      <c r="C113" s="64"/>
      <c r="D113" s="64"/>
      <c r="E113" s="64"/>
      <c r="F113" s="64"/>
      <c r="G113" s="64"/>
      <c r="H113" s="66"/>
      <c r="I113" s="67"/>
      <c r="J113" s="70" t="str">
        <f t="shared" si="1"/>
        <v/>
      </c>
      <c r="K113" s="64"/>
      <c r="L113" s="65"/>
      <c r="M113" s="64"/>
    </row>
    <row r="114" spans="1:13" x14ac:dyDescent="0.25">
      <c r="A114" s="64"/>
      <c r="B114" s="65"/>
      <c r="C114" s="64"/>
      <c r="D114" s="64"/>
      <c r="E114" s="64"/>
      <c r="F114" s="64"/>
      <c r="G114" s="64"/>
      <c r="H114" s="66"/>
      <c r="I114" s="67"/>
      <c r="J114" s="70" t="str">
        <f t="shared" si="1"/>
        <v/>
      </c>
      <c r="K114" s="64"/>
      <c r="L114" s="65"/>
      <c r="M114" s="64"/>
    </row>
    <row r="115" spans="1:13" x14ac:dyDescent="0.25">
      <c r="A115" s="64"/>
      <c r="B115" s="65"/>
      <c r="C115" s="64"/>
      <c r="D115" s="64"/>
      <c r="E115" s="64"/>
      <c r="F115" s="64"/>
      <c r="G115" s="64"/>
      <c r="H115" s="66"/>
      <c r="I115" s="67"/>
      <c r="J115" s="70" t="str">
        <f t="shared" si="1"/>
        <v/>
      </c>
      <c r="K115" s="64"/>
      <c r="L115" s="65"/>
      <c r="M115" s="64"/>
    </row>
    <row r="116" spans="1:13" x14ac:dyDescent="0.25">
      <c r="A116" s="64"/>
      <c r="B116" s="65"/>
      <c r="C116" s="64"/>
      <c r="D116" s="64"/>
      <c r="E116" s="64"/>
      <c r="F116" s="64"/>
      <c r="G116" s="64"/>
      <c r="H116" s="66"/>
      <c r="I116" s="67"/>
      <c r="J116" s="70" t="str">
        <f t="shared" si="1"/>
        <v/>
      </c>
      <c r="K116" s="64"/>
      <c r="L116" s="65"/>
      <c r="M116" s="64"/>
    </row>
    <row r="117" spans="1:13" x14ac:dyDescent="0.25">
      <c r="A117" s="64"/>
      <c r="B117" s="65"/>
      <c r="C117" s="64"/>
      <c r="D117" s="64"/>
      <c r="E117" s="64"/>
      <c r="F117" s="64"/>
      <c r="G117" s="64"/>
      <c r="H117" s="66"/>
      <c r="I117" s="67"/>
      <c r="J117" s="70" t="str">
        <f t="shared" si="1"/>
        <v/>
      </c>
      <c r="K117" s="64"/>
      <c r="L117" s="65"/>
      <c r="M117" s="64"/>
    </row>
    <row r="118" spans="1:13" x14ac:dyDescent="0.25">
      <c r="A118" s="64"/>
      <c r="B118" s="65"/>
      <c r="C118" s="64"/>
      <c r="D118" s="64"/>
      <c r="E118" s="64"/>
      <c r="F118" s="64"/>
      <c r="G118" s="64"/>
      <c r="H118" s="66"/>
      <c r="I118" s="67"/>
      <c r="J118" s="70" t="str">
        <f t="shared" si="1"/>
        <v/>
      </c>
      <c r="K118" s="64"/>
      <c r="L118" s="65"/>
      <c r="M118" s="64"/>
    </row>
    <row r="119" spans="1:13" x14ac:dyDescent="0.25">
      <c r="A119" s="64"/>
      <c r="B119" s="65"/>
      <c r="C119" s="64"/>
      <c r="D119" s="64"/>
      <c r="E119" s="64"/>
      <c r="F119" s="64"/>
      <c r="G119" s="64"/>
      <c r="H119" s="66"/>
      <c r="I119" s="67"/>
      <c r="J119" s="70" t="str">
        <f t="shared" si="1"/>
        <v/>
      </c>
      <c r="K119" s="64"/>
      <c r="L119" s="65"/>
      <c r="M119" s="64"/>
    </row>
    <row r="120" spans="1:13" x14ac:dyDescent="0.25">
      <c r="A120" s="64"/>
      <c r="B120" s="65"/>
      <c r="C120" s="64"/>
      <c r="D120" s="64"/>
      <c r="E120" s="64"/>
      <c r="F120" s="64"/>
      <c r="G120" s="64"/>
      <c r="H120" s="66"/>
      <c r="I120" s="67"/>
      <c r="J120" s="70" t="str">
        <f t="shared" si="1"/>
        <v/>
      </c>
      <c r="K120" s="64"/>
      <c r="L120" s="65"/>
      <c r="M120" s="64"/>
    </row>
    <row r="121" spans="1:13" x14ac:dyDescent="0.25">
      <c r="A121" s="64"/>
      <c r="B121" s="65"/>
      <c r="C121" s="64"/>
      <c r="D121" s="64"/>
      <c r="E121" s="64"/>
      <c r="F121" s="64"/>
      <c r="G121" s="64"/>
      <c r="H121" s="66"/>
      <c r="I121" s="67"/>
      <c r="J121" s="70" t="str">
        <f t="shared" si="1"/>
        <v/>
      </c>
      <c r="K121" s="64"/>
      <c r="L121" s="65"/>
      <c r="M121" s="64"/>
    </row>
    <row r="122" spans="1:13" x14ac:dyDescent="0.25">
      <c r="A122" s="64"/>
      <c r="B122" s="65"/>
      <c r="C122" s="64"/>
      <c r="D122" s="64"/>
      <c r="E122" s="64"/>
      <c r="F122" s="64"/>
      <c r="G122" s="64"/>
      <c r="H122" s="66"/>
      <c r="I122" s="67"/>
      <c r="J122" s="70" t="str">
        <f t="shared" si="1"/>
        <v/>
      </c>
      <c r="K122" s="64"/>
      <c r="L122" s="65"/>
      <c r="M122" s="64"/>
    </row>
    <row r="123" spans="1:13" x14ac:dyDescent="0.25">
      <c r="A123" s="64"/>
      <c r="B123" s="65"/>
      <c r="C123" s="64"/>
      <c r="D123" s="64"/>
      <c r="E123" s="64"/>
      <c r="F123" s="64"/>
      <c r="G123" s="64"/>
      <c r="H123" s="66"/>
      <c r="I123" s="67"/>
      <c r="J123" s="70" t="str">
        <f t="shared" si="1"/>
        <v/>
      </c>
      <c r="K123" s="64"/>
      <c r="L123" s="65"/>
      <c r="M123" s="64"/>
    </row>
    <row r="124" spans="1:13" x14ac:dyDescent="0.25">
      <c r="A124" s="64"/>
      <c r="B124" s="65"/>
      <c r="C124" s="64"/>
      <c r="D124" s="64"/>
      <c r="E124" s="64"/>
      <c r="F124" s="64"/>
      <c r="G124" s="64"/>
      <c r="H124" s="66"/>
      <c r="I124" s="67"/>
      <c r="J124" s="70" t="str">
        <f t="shared" si="1"/>
        <v/>
      </c>
      <c r="K124" s="64"/>
      <c r="L124" s="65"/>
      <c r="M124" s="64"/>
    </row>
    <row r="125" spans="1:13" x14ac:dyDescent="0.25">
      <c r="A125" s="64"/>
      <c r="B125" s="65"/>
      <c r="C125" s="64"/>
      <c r="D125" s="64"/>
      <c r="E125" s="64"/>
      <c r="F125" s="64"/>
      <c r="G125" s="64"/>
      <c r="H125" s="66"/>
      <c r="I125" s="67"/>
      <c r="J125" s="70" t="str">
        <f t="shared" si="1"/>
        <v/>
      </c>
      <c r="K125" s="64"/>
      <c r="L125" s="65"/>
      <c r="M125" s="64"/>
    </row>
    <row r="126" spans="1:13" x14ac:dyDescent="0.25">
      <c r="A126" s="64"/>
      <c r="B126" s="65"/>
      <c r="C126" s="64"/>
      <c r="D126" s="64"/>
      <c r="E126" s="64"/>
      <c r="F126" s="64"/>
      <c r="G126" s="64"/>
      <c r="H126" s="66"/>
      <c r="I126" s="67"/>
      <c r="J126" s="70" t="str">
        <f t="shared" si="1"/>
        <v/>
      </c>
      <c r="K126" s="64"/>
      <c r="L126" s="65"/>
      <c r="M126" s="64"/>
    </row>
    <row r="127" spans="1:13" x14ac:dyDescent="0.25">
      <c r="A127" s="64"/>
      <c r="B127" s="65"/>
      <c r="C127" s="64"/>
      <c r="D127" s="64"/>
      <c r="E127" s="64"/>
      <c r="F127" s="64"/>
      <c r="G127" s="64"/>
      <c r="H127" s="66"/>
      <c r="I127" s="67"/>
      <c r="J127" s="70" t="str">
        <f t="shared" si="1"/>
        <v/>
      </c>
      <c r="K127" s="64"/>
      <c r="L127" s="65"/>
      <c r="M127" s="64"/>
    </row>
    <row r="128" spans="1:13" x14ac:dyDescent="0.25">
      <c r="A128" s="64"/>
      <c r="B128" s="65"/>
      <c r="C128" s="64"/>
      <c r="D128" s="64"/>
      <c r="E128" s="64"/>
      <c r="F128" s="64"/>
      <c r="G128" s="64"/>
      <c r="H128" s="66"/>
      <c r="I128" s="67"/>
      <c r="J128" s="70" t="str">
        <f t="shared" si="1"/>
        <v/>
      </c>
      <c r="K128" s="64"/>
      <c r="L128" s="65"/>
      <c r="M128" s="64"/>
    </row>
    <row r="129" spans="1:13" x14ac:dyDescent="0.25">
      <c r="A129" s="64"/>
      <c r="B129" s="65"/>
      <c r="C129" s="64"/>
      <c r="D129" s="64"/>
      <c r="E129" s="64"/>
      <c r="F129" s="64"/>
      <c r="G129" s="64"/>
      <c r="H129" s="66"/>
      <c r="I129" s="67"/>
      <c r="J129" s="70" t="str">
        <f t="shared" si="1"/>
        <v/>
      </c>
      <c r="K129" s="64"/>
      <c r="L129" s="65"/>
      <c r="M129" s="64"/>
    </row>
    <row r="130" spans="1:13" x14ac:dyDescent="0.25">
      <c r="A130" s="64"/>
      <c r="B130" s="65"/>
      <c r="C130" s="64"/>
      <c r="D130" s="64"/>
      <c r="E130" s="64"/>
      <c r="F130" s="64"/>
      <c r="G130" s="64"/>
      <c r="H130" s="66"/>
      <c r="I130" s="67"/>
      <c r="J130" s="70" t="str">
        <f t="shared" si="1"/>
        <v/>
      </c>
      <c r="K130" s="64"/>
      <c r="L130" s="65"/>
      <c r="M130" s="64"/>
    </row>
    <row r="131" spans="1:13" x14ac:dyDescent="0.25">
      <c r="A131" s="64"/>
      <c r="B131" s="65"/>
      <c r="C131" s="64"/>
      <c r="D131" s="64"/>
      <c r="E131" s="64"/>
      <c r="F131" s="64"/>
      <c r="G131" s="64"/>
      <c r="H131" s="66"/>
      <c r="I131" s="67"/>
      <c r="J131" s="70" t="str">
        <f t="shared" ref="J131:J194" si="2">IFERROR(IF(OR(H131="",I131=""),"",H131*I131),"")</f>
        <v/>
      </c>
      <c r="K131" s="64"/>
      <c r="L131" s="65"/>
      <c r="M131" s="64"/>
    </row>
    <row r="132" spans="1:13" x14ac:dyDescent="0.25">
      <c r="A132" s="64"/>
      <c r="B132" s="65"/>
      <c r="C132" s="64"/>
      <c r="D132" s="64"/>
      <c r="E132" s="64"/>
      <c r="F132" s="64"/>
      <c r="G132" s="64"/>
      <c r="H132" s="66"/>
      <c r="I132" s="67"/>
      <c r="J132" s="70" t="str">
        <f t="shared" si="2"/>
        <v/>
      </c>
      <c r="K132" s="64"/>
      <c r="L132" s="65"/>
      <c r="M132" s="64"/>
    </row>
    <row r="133" spans="1:13" x14ac:dyDescent="0.25">
      <c r="A133" s="64"/>
      <c r="B133" s="65"/>
      <c r="C133" s="64"/>
      <c r="D133" s="64"/>
      <c r="E133" s="64"/>
      <c r="F133" s="64"/>
      <c r="G133" s="64"/>
      <c r="H133" s="66"/>
      <c r="I133" s="67"/>
      <c r="J133" s="70" t="str">
        <f t="shared" si="2"/>
        <v/>
      </c>
      <c r="K133" s="64"/>
      <c r="L133" s="65"/>
      <c r="M133" s="64"/>
    </row>
    <row r="134" spans="1:13" x14ac:dyDescent="0.25">
      <c r="A134" s="64"/>
      <c r="B134" s="65"/>
      <c r="C134" s="64"/>
      <c r="D134" s="64"/>
      <c r="E134" s="64"/>
      <c r="F134" s="64"/>
      <c r="G134" s="64"/>
      <c r="H134" s="66"/>
      <c r="I134" s="67"/>
      <c r="J134" s="70" t="str">
        <f t="shared" si="2"/>
        <v/>
      </c>
      <c r="K134" s="64"/>
      <c r="L134" s="65"/>
      <c r="M134" s="64"/>
    </row>
    <row r="135" spans="1:13" x14ac:dyDescent="0.25">
      <c r="A135" s="64"/>
      <c r="B135" s="65"/>
      <c r="C135" s="64"/>
      <c r="D135" s="64"/>
      <c r="E135" s="64"/>
      <c r="F135" s="64"/>
      <c r="G135" s="64"/>
      <c r="H135" s="66"/>
      <c r="I135" s="67"/>
      <c r="J135" s="70" t="str">
        <f t="shared" si="2"/>
        <v/>
      </c>
      <c r="K135" s="64"/>
      <c r="L135" s="65"/>
      <c r="M135" s="64"/>
    </row>
    <row r="136" spans="1:13" x14ac:dyDescent="0.25">
      <c r="A136" s="64"/>
      <c r="B136" s="65"/>
      <c r="C136" s="64"/>
      <c r="D136" s="64"/>
      <c r="E136" s="64"/>
      <c r="F136" s="64"/>
      <c r="G136" s="64"/>
      <c r="H136" s="66"/>
      <c r="I136" s="67"/>
      <c r="J136" s="70" t="str">
        <f t="shared" si="2"/>
        <v/>
      </c>
      <c r="K136" s="64"/>
      <c r="L136" s="65"/>
      <c r="M136" s="64"/>
    </row>
    <row r="137" spans="1:13" x14ac:dyDescent="0.25">
      <c r="A137" s="64"/>
      <c r="B137" s="65"/>
      <c r="C137" s="64"/>
      <c r="D137" s="64"/>
      <c r="E137" s="64"/>
      <c r="F137" s="64"/>
      <c r="G137" s="64"/>
      <c r="H137" s="66"/>
      <c r="I137" s="67"/>
      <c r="J137" s="70" t="str">
        <f t="shared" si="2"/>
        <v/>
      </c>
      <c r="K137" s="64"/>
      <c r="L137" s="65"/>
      <c r="M137" s="64"/>
    </row>
    <row r="138" spans="1:13" x14ac:dyDescent="0.25">
      <c r="A138" s="64"/>
      <c r="B138" s="65"/>
      <c r="C138" s="64"/>
      <c r="D138" s="64"/>
      <c r="E138" s="64"/>
      <c r="F138" s="64"/>
      <c r="G138" s="64"/>
      <c r="H138" s="66"/>
      <c r="I138" s="67"/>
      <c r="J138" s="70" t="str">
        <f t="shared" si="2"/>
        <v/>
      </c>
      <c r="K138" s="64"/>
      <c r="L138" s="65"/>
      <c r="M138" s="64"/>
    </row>
    <row r="139" spans="1:13" x14ac:dyDescent="0.25">
      <c r="A139" s="64"/>
      <c r="B139" s="65"/>
      <c r="C139" s="64"/>
      <c r="D139" s="64"/>
      <c r="E139" s="64"/>
      <c r="F139" s="64"/>
      <c r="G139" s="64"/>
      <c r="H139" s="66"/>
      <c r="I139" s="67"/>
      <c r="J139" s="70" t="str">
        <f t="shared" si="2"/>
        <v/>
      </c>
      <c r="K139" s="64"/>
      <c r="L139" s="65"/>
      <c r="M139" s="64"/>
    </row>
    <row r="140" spans="1:13" x14ac:dyDescent="0.25">
      <c r="A140" s="64"/>
      <c r="B140" s="65"/>
      <c r="C140" s="64"/>
      <c r="D140" s="64"/>
      <c r="E140" s="64"/>
      <c r="F140" s="64"/>
      <c r="G140" s="64"/>
      <c r="H140" s="66"/>
      <c r="I140" s="67"/>
      <c r="J140" s="70" t="str">
        <f t="shared" si="2"/>
        <v/>
      </c>
      <c r="K140" s="64"/>
      <c r="L140" s="65"/>
      <c r="M140" s="64"/>
    </row>
    <row r="141" spans="1:13" x14ac:dyDescent="0.25">
      <c r="A141" s="64"/>
      <c r="B141" s="65"/>
      <c r="C141" s="64"/>
      <c r="D141" s="64"/>
      <c r="E141" s="64"/>
      <c r="F141" s="64"/>
      <c r="G141" s="64"/>
      <c r="H141" s="66"/>
      <c r="I141" s="67"/>
      <c r="J141" s="70" t="str">
        <f t="shared" si="2"/>
        <v/>
      </c>
      <c r="K141" s="64"/>
      <c r="L141" s="65"/>
      <c r="M141" s="64"/>
    </row>
    <row r="142" spans="1:13" x14ac:dyDescent="0.25">
      <c r="A142" s="64"/>
      <c r="B142" s="65"/>
      <c r="C142" s="64"/>
      <c r="D142" s="64"/>
      <c r="E142" s="64"/>
      <c r="F142" s="64"/>
      <c r="G142" s="64"/>
      <c r="H142" s="66"/>
      <c r="I142" s="67"/>
      <c r="J142" s="70" t="str">
        <f t="shared" si="2"/>
        <v/>
      </c>
      <c r="K142" s="64"/>
      <c r="L142" s="65"/>
      <c r="M142" s="64"/>
    </row>
    <row r="143" spans="1:13" x14ac:dyDescent="0.25">
      <c r="A143" s="64"/>
      <c r="B143" s="65"/>
      <c r="C143" s="64"/>
      <c r="D143" s="64"/>
      <c r="E143" s="64"/>
      <c r="F143" s="64"/>
      <c r="G143" s="64"/>
      <c r="H143" s="66"/>
      <c r="I143" s="67"/>
      <c r="J143" s="70" t="str">
        <f t="shared" si="2"/>
        <v/>
      </c>
      <c r="K143" s="64"/>
      <c r="L143" s="65"/>
      <c r="M143" s="64"/>
    </row>
    <row r="144" spans="1:13" x14ac:dyDescent="0.25">
      <c r="A144" s="64"/>
      <c r="B144" s="65"/>
      <c r="C144" s="64"/>
      <c r="D144" s="64"/>
      <c r="E144" s="64"/>
      <c r="F144" s="64"/>
      <c r="G144" s="64"/>
      <c r="H144" s="66"/>
      <c r="I144" s="67"/>
      <c r="J144" s="70" t="str">
        <f t="shared" si="2"/>
        <v/>
      </c>
      <c r="K144" s="64"/>
      <c r="L144" s="65"/>
      <c r="M144" s="64"/>
    </row>
    <row r="145" spans="1:13" x14ac:dyDescent="0.25">
      <c r="A145" s="64"/>
      <c r="B145" s="65"/>
      <c r="C145" s="64"/>
      <c r="D145" s="64"/>
      <c r="E145" s="64"/>
      <c r="F145" s="64"/>
      <c r="G145" s="64"/>
      <c r="H145" s="66"/>
      <c r="I145" s="67"/>
      <c r="J145" s="70" t="str">
        <f t="shared" si="2"/>
        <v/>
      </c>
      <c r="K145" s="64"/>
      <c r="L145" s="65"/>
      <c r="M145" s="64"/>
    </row>
    <row r="146" spans="1:13" x14ac:dyDescent="0.25">
      <c r="A146" s="64"/>
      <c r="B146" s="65"/>
      <c r="C146" s="64"/>
      <c r="D146" s="64"/>
      <c r="E146" s="64"/>
      <c r="F146" s="64"/>
      <c r="G146" s="64"/>
      <c r="H146" s="66"/>
      <c r="I146" s="67"/>
      <c r="J146" s="70" t="str">
        <f t="shared" si="2"/>
        <v/>
      </c>
      <c r="K146" s="64"/>
      <c r="L146" s="65"/>
      <c r="M146" s="64"/>
    </row>
    <row r="147" spans="1:13" x14ac:dyDescent="0.25">
      <c r="A147" s="64"/>
      <c r="B147" s="65"/>
      <c r="C147" s="64"/>
      <c r="D147" s="64"/>
      <c r="E147" s="64"/>
      <c r="F147" s="64"/>
      <c r="G147" s="64"/>
      <c r="H147" s="66"/>
      <c r="I147" s="67"/>
      <c r="J147" s="70" t="str">
        <f t="shared" si="2"/>
        <v/>
      </c>
      <c r="K147" s="64"/>
      <c r="L147" s="65"/>
      <c r="M147" s="64"/>
    </row>
    <row r="148" spans="1:13" x14ac:dyDescent="0.25">
      <c r="A148" s="64"/>
      <c r="B148" s="65"/>
      <c r="C148" s="64"/>
      <c r="D148" s="64"/>
      <c r="E148" s="64"/>
      <c r="F148" s="64"/>
      <c r="G148" s="64"/>
      <c r="H148" s="66"/>
      <c r="I148" s="67"/>
      <c r="J148" s="70" t="str">
        <f t="shared" si="2"/>
        <v/>
      </c>
      <c r="K148" s="64"/>
      <c r="L148" s="65"/>
      <c r="M148" s="64"/>
    </row>
    <row r="149" spans="1:13" x14ac:dyDescent="0.25">
      <c r="A149" s="64"/>
      <c r="B149" s="65"/>
      <c r="C149" s="64"/>
      <c r="D149" s="64"/>
      <c r="E149" s="64"/>
      <c r="F149" s="64"/>
      <c r="G149" s="64"/>
      <c r="H149" s="66"/>
      <c r="I149" s="67"/>
      <c r="J149" s="70" t="str">
        <f t="shared" si="2"/>
        <v/>
      </c>
      <c r="K149" s="64"/>
      <c r="L149" s="65"/>
      <c r="M149" s="64"/>
    </row>
    <row r="150" spans="1:13" x14ac:dyDescent="0.25">
      <c r="A150" s="64"/>
      <c r="B150" s="65"/>
      <c r="C150" s="64"/>
      <c r="D150" s="64"/>
      <c r="E150" s="64"/>
      <c r="F150" s="64"/>
      <c r="G150" s="64"/>
      <c r="H150" s="66"/>
      <c r="I150" s="67"/>
      <c r="J150" s="70" t="str">
        <f t="shared" si="2"/>
        <v/>
      </c>
      <c r="K150" s="64"/>
      <c r="L150" s="65"/>
      <c r="M150" s="64"/>
    </row>
    <row r="151" spans="1:13" x14ac:dyDescent="0.25">
      <c r="A151" s="64"/>
      <c r="B151" s="65"/>
      <c r="C151" s="64"/>
      <c r="D151" s="64"/>
      <c r="E151" s="64"/>
      <c r="F151" s="64"/>
      <c r="G151" s="64"/>
      <c r="H151" s="66"/>
      <c r="I151" s="67"/>
      <c r="J151" s="70" t="str">
        <f t="shared" si="2"/>
        <v/>
      </c>
      <c r="K151" s="64"/>
      <c r="L151" s="65"/>
      <c r="M151" s="64"/>
    </row>
    <row r="152" spans="1:13" x14ac:dyDescent="0.25">
      <c r="A152" s="64"/>
      <c r="B152" s="65"/>
      <c r="C152" s="64"/>
      <c r="D152" s="64"/>
      <c r="E152" s="64"/>
      <c r="F152" s="64"/>
      <c r="G152" s="64"/>
      <c r="H152" s="66"/>
      <c r="I152" s="67"/>
      <c r="J152" s="70" t="str">
        <f t="shared" si="2"/>
        <v/>
      </c>
      <c r="K152" s="64"/>
      <c r="L152" s="65"/>
      <c r="M152" s="64"/>
    </row>
    <row r="153" spans="1:13" x14ac:dyDescent="0.25">
      <c r="A153" s="64"/>
      <c r="B153" s="65"/>
      <c r="C153" s="64"/>
      <c r="D153" s="64"/>
      <c r="E153" s="64"/>
      <c r="F153" s="64"/>
      <c r="G153" s="64"/>
      <c r="H153" s="66"/>
      <c r="I153" s="67"/>
      <c r="J153" s="70" t="str">
        <f t="shared" si="2"/>
        <v/>
      </c>
      <c r="K153" s="64"/>
      <c r="L153" s="65"/>
      <c r="M153" s="64"/>
    </row>
    <row r="154" spans="1:13" x14ac:dyDescent="0.25">
      <c r="A154" s="64"/>
      <c r="B154" s="65"/>
      <c r="C154" s="64"/>
      <c r="D154" s="64"/>
      <c r="E154" s="64"/>
      <c r="F154" s="64"/>
      <c r="G154" s="64"/>
      <c r="H154" s="66"/>
      <c r="I154" s="67"/>
      <c r="J154" s="70" t="str">
        <f t="shared" si="2"/>
        <v/>
      </c>
      <c r="K154" s="64"/>
      <c r="L154" s="65"/>
      <c r="M154" s="64"/>
    </row>
    <row r="155" spans="1:13" x14ac:dyDescent="0.25">
      <c r="A155" s="64"/>
      <c r="B155" s="65"/>
      <c r="C155" s="64"/>
      <c r="D155" s="64"/>
      <c r="E155" s="64"/>
      <c r="F155" s="64"/>
      <c r="G155" s="64"/>
      <c r="H155" s="66"/>
      <c r="I155" s="67"/>
      <c r="J155" s="70" t="str">
        <f t="shared" si="2"/>
        <v/>
      </c>
      <c r="K155" s="64"/>
      <c r="L155" s="65"/>
      <c r="M155" s="64"/>
    </row>
    <row r="156" spans="1:13" x14ac:dyDescent="0.25">
      <c r="A156" s="64"/>
      <c r="B156" s="65"/>
      <c r="C156" s="64"/>
      <c r="D156" s="64"/>
      <c r="E156" s="64"/>
      <c r="F156" s="64"/>
      <c r="G156" s="64"/>
      <c r="H156" s="66"/>
      <c r="I156" s="67"/>
      <c r="J156" s="70" t="str">
        <f t="shared" si="2"/>
        <v/>
      </c>
      <c r="K156" s="64"/>
      <c r="L156" s="65"/>
      <c r="M156" s="64"/>
    </row>
    <row r="157" spans="1:13" x14ac:dyDescent="0.25">
      <c r="A157" s="64"/>
      <c r="B157" s="65"/>
      <c r="C157" s="64"/>
      <c r="D157" s="64"/>
      <c r="E157" s="64"/>
      <c r="F157" s="64"/>
      <c r="G157" s="64"/>
      <c r="H157" s="66"/>
      <c r="I157" s="67"/>
      <c r="J157" s="70" t="str">
        <f t="shared" si="2"/>
        <v/>
      </c>
      <c r="K157" s="64"/>
      <c r="L157" s="65"/>
      <c r="M157" s="64"/>
    </row>
    <row r="158" spans="1:13" x14ac:dyDescent="0.25">
      <c r="A158" s="64"/>
      <c r="B158" s="65"/>
      <c r="C158" s="64"/>
      <c r="D158" s="64"/>
      <c r="E158" s="64"/>
      <c r="F158" s="64"/>
      <c r="G158" s="64"/>
      <c r="H158" s="66"/>
      <c r="I158" s="67"/>
      <c r="J158" s="70" t="str">
        <f t="shared" si="2"/>
        <v/>
      </c>
      <c r="K158" s="64"/>
      <c r="L158" s="65"/>
      <c r="M158" s="64"/>
    </row>
    <row r="159" spans="1:13" x14ac:dyDescent="0.25">
      <c r="A159" s="64"/>
      <c r="B159" s="65"/>
      <c r="C159" s="64"/>
      <c r="D159" s="64"/>
      <c r="E159" s="64"/>
      <c r="F159" s="64"/>
      <c r="G159" s="64"/>
      <c r="H159" s="66"/>
      <c r="I159" s="67"/>
      <c r="J159" s="70" t="str">
        <f t="shared" si="2"/>
        <v/>
      </c>
      <c r="K159" s="64"/>
      <c r="L159" s="65"/>
      <c r="M159" s="64"/>
    </row>
    <row r="160" spans="1:13" x14ac:dyDescent="0.25">
      <c r="A160" s="64"/>
      <c r="B160" s="65"/>
      <c r="C160" s="64"/>
      <c r="D160" s="64"/>
      <c r="E160" s="64"/>
      <c r="F160" s="64"/>
      <c r="G160" s="64"/>
      <c r="H160" s="66"/>
      <c r="I160" s="67"/>
      <c r="J160" s="70" t="str">
        <f t="shared" si="2"/>
        <v/>
      </c>
      <c r="K160" s="64"/>
      <c r="L160" s="65"/>
      <c r="M160" s="64"/>
    </row>
    <row r="161" spans="1:13" x14ac:dyDescent="0.25">
      <c r="A161" s="64"/>
      <c r="B161" s="65"/>
      <c r="C161" s="64"/>
      <c r="D161" s="64"/>
      <c r="E161" s="64"/>
      <c r="F161" s="64"/>
      <c r="G161" s="64"/>
      <c r="H161" s="66"/>
      <c r="I161" s="67"/>
      <c r="J161" s="70" t="str">
        <f t="shared" si="2"/>
        <v/>
      </c>
      <c r="K161" s="64"/>
      <c r="L161" s="65"/>
      <c r="M161" s="64"/>
    </row>
    <row r="162" spans="1:13" x14ac:dyDescent="0.25">
      <c r="A162" s="64"/>
      <c r="B162" s="65"/>
      <c r="C162" s="64"/>
      <c r="D162" s="64"/>
      <c r="E162" s="64"/>
      <c r="F162" s="64"/>
      <c r="G162" s="64"/>
      <c r="H162" s="66"/>
      <c r="I162" s="67"/>
      <c r="J162" s="70" t="str">
        <f t="shared" si="2"/>
        <v/>
      </c>
      <c r="K162" s="64"/>
      <c r="L162" s="65"/>
      <c r="M162" s="64"/>
    </row>
    <row r="163" spans="1:13" x14ac:dyDescent="0.25">
      <c r="A163" s="64"/>
      <c r="B163" s="65"/>
      <c r="C163" s="64"/>
      <c r="D163" s="64"/>
      <c r="E163" s="64"/>
      <c r="F163" s="64"/>
      <c r="G163" s="64"/>
      <c r="H163" s="66"/>
      <c r="I163" s="67"/>
      <c r="J163" s="70" t="str">
        <f t="shared" si="2"/>
        <v/>
      </c>
      <c r="K163" s="64"/>
      <c r="L163" s="65"/>
      <c r="M163" s="64"/>
    </row>
    <row r="164" spans="1:13" x14ac:dyDescent="0.25">
      <c r="A164" s="64"/>
      <c r="B164" s="65"/>
      <c r="C164" s="64"/>
      <c r="D164" s="64"/>
      <c r="E164" s="64"/>
      <c r="F164" s="64"/>
      <c r="G164" s="64"/>
      <c r="H164" s="66"/>
      <c r="I164" s="67"/>
      <c r="J164" s="70" t="str">
        <f t="shared" si="2"/>
        <v/>
      </c>
      <c r="K164" s="64"/>
      <c r="L164" s="65"/>
      <c r="M164" s="64"/>
    </row>
    <row r="165" spans="1:13" x14ac:dyDescent="0.25">
      <c r="A165" s="64"/>
      <c r="B165" s="65"/>
      <c r="C165" s="64"/>
      <c r="D165" s="64"/>
      <c r="E165" s="64"/>
      <c r="F165" s="64"/>
      <c r="G165" s="64"/>
      <c r="H165" s="66"/>
      <c r="I165" s="67"/>
      <c r="J165" s="70" t="str">
        <f t="shared" si="2"/>
        <v/>
      </c>
      <c r="K165" s="64"/>
      <c r="L165" s="65"/>
      <c r="M165" s="64"/>
    </row>
    <row r="166" spans="1:13" x14ac:dyDescent="0.25">
      <c r="A166" s="64"/>
      <c r="B166" s="65"/>
      <c r="C166" s="64"/>
      <c r="D166" s="64"/>
      <c r="E166" s="64"/>
      <c r="F166" s="64"/>
      <c r="G166" s="64"/>
      <c r="H166" s="66"/>
      <c r="I166" s="67"/>
      <c r="J166" s="70" t="str">
        <f t="shared" si="2"/>
        <v/>
      </c>
      <c r="K166" s="64"/>
      <c r="L166" s="65"/>
      <c r="M166" s="64"/>
    </row>
    <row r="167" spans="1:13" x14ac:dyDescent="0.25">
      <c r="A167" s="64"/>
      <c r="B167" s="65"/>
      <c r="C167" s="64"/>
      <c r="D167" s="64"/>
      <c r="E167" s="64"/>
      <c r="F167" s="64"/>
      <c r="G167" s="64"/>
      <c r="H167" s="66"/>
      <c r="I167" s="67"/>
      <c r="J167" s="70" t="str">
        <f t="shared" si="2"/>
        <v/>
      </c>
      <c r="K167" s="64"/>
      <c r="L167" s="65"/>
      <c r="M167" s="64"/>
    </row>
    <row r="168" spans="1:13" x14ac:dyDescent="0.25">
      <c r="A168" s="64"/>
      <c r="B168" s="65"/>
      <c r="C168" s="64"/>
      <c r="D168" s="64"/>
      <c r="E168" s="64"/>
      <c r="F168" s="64"/>
      <c r="G168" s="64"/>
      <c r="H168" s="66"/>
      <c r="I168" s="67"/>
      <c r="J168" s="70" t="str">
        <f t="shared" si="2"/>
        <v/>
      </c>
      <c r="K168" s="64"/>
      <c r="L168" s="65"/>
      <c r="M168" s="64"/>
    </row>
    <row r="169" spans="1:13" x14ac:dyDescent="0.25">
      <c r="A169" s="64"/>
      <c r="B169" s="65"/>
      <c r="C169" s="64"/>
      <c r="D169" s="64"/>
      <c r="E169" s="64"/>
      <c r="F169" s="64"/>
      <c r="G169" s="64"/>
      <c r="H169" s="66"/>
      <c r="I169" s="67"/>
      <c r="J169" s="70" t="str">
        <f t="shared" si="2"/>
        <v/>
      </c>
      <c r="K169" s="64"/>
      <c r="L169" s="65"/>
      <c r="M169" s="64"/>
    </row>
    <row r="170" spans="1:13" x14ac:dyDescent="0.25">
      <c r="A170" s="64"/>
      <c r="B170" s="65"/>
      <c r="C170" s="64"/>
      <c r="D170" s="64"/>
      <c r="E170" s="64"/>
      <c r="F170" s="64"/>
      <c r="G170" s="64"/>
      <c r="H170" s="66"/>
      <c r="I170" s="67"/>
      <c r="J170" s="70" t="str">
        <f t="shared" si="2"/>
        <v/>
      </c>
      <c r="K170" s="64"/>
      <c r="L170" s="65"/>
      <c r="M170" s="64"/>
    </row>
    <row r="171" spans="1:13" x14ac:dyDescent="0.25">
      <c r="A171" s="64"/>
      <c r="B171" s="65"/>
      <c r="C171" s="64"/>
      <c r="D171" s="64"/>
      <c r="E171" s="64"/>
      <c r="F171" s="64"/>
      <c r="G171" s="64"/>
      <c r="H171" s="66"/>
      <c r="I171" s="67"/>
      <c r="J171" s="70" t="str">
        <f t="shared" si="2"/>
        <v/>
      </c>
      <c r="K171" s="64"/>
      <c r="L171" s="65"/>
      <c r="M171" s="64"/>
    </row>
    <row r="172" spans="1:13" x14ac:dyDescent="0.25">
      <c r="A172" s="64"/>
      <c r="B172" s="65"/>
      <c r="C172" s="64"/>
      <c r="D172" s="64"/>
      <c r="E172" s="64"/>
      <c r="F172" s="64"/>
      <c r="G172" s="64"/>
      <c r="H172" s="66"/>
      <c r="I172" s="67"/>
      <c r="J172" s="70" t="str">
        <f t="shared" si="2"/>
        <v/>
      </c>
      <c r="K172" s="64"/>
      <c r="L172" s="65"/>
      <c r="M172" s="64"/>
    </row>
    <row r="173" spans="1:13" x14ac:dyDescent="0.25">
      <c r="A173" s="64"/>
      <c r="B173" s="65"/>
      <c r="C173" s="64"/>
      <c r="D173" s="64"/>
      <c r="E173" s="64"/>
      <c r="F173" s="64"/>
      <c r="G173" s="64"/>
      <c r="H173" s="66"/>
      <c r="I173" s="67"/>
      <c r="J173" s="70" t="str">
        <f t="shared" si="2"/>
        <v/>
      </c>
      <c r="K173" s="64"/>
      <c r="L173" s="65"/>
      <c r="M173" s="64"/>
    </row>
    <row r="174" spans="1:13" x14ac:dyDescent="0.25">
      <c r="A174" s="64"/>
      <c r="B174" s="65"/>
      <c r="C174" s="64"/>
      <c r="D174" s="64"/>
      <c r="E174" s="64"/>
      <c r="F174" s="64"/>
      <c r="G174" s="64"/>
      <c r="H174" s="66"/>
      <c r="I174" s="67"/>
      <c r="J174" s="70" t="str">
        <f t="shared" si="2"/>
        <v/>
      </c>
      <c r="K174" s="64"/>
      <c r="L174" s="65"/>
      <c r="M174" s="64"/>
    </row>
    <row r="175" spans="1:13" x14ac:dyDescent="0.25">
      <c r="A175" s="64"/>
      <c r="B175" s="65"/>
      <c r="C175" s="64"/>
      <c r="D175" s="64"/>
      <c r="E175" s="64"/>
      <c r="F175" s="64"/>
      <c r="G175" s="64"/>
      <c r="H175" s="66"/>
      <c r="I175" s="67"/>
      <c r="J175" s="70" t="str">
        <f t="shared" si="2"/>
        <v/>
      </c>
      <c r="K175" s="64"/>
      <c r="L175" s="65"/>
      <c r="M175" s="64"/>
    </row>
    <row r="176" spans="1:13" x14ac:dyDescent="0.25">
      <c r="A176" s="64"/>
      <c r="B176" s="65"/>
      <c r="C176" s="64"/>
      <c r="D176" s="64"/>
      <c r="E176" s="64"/>
      <c r="F176" s="64"/>
      <c r="G176" s="64"/>
      <c r="H176" s="66"/>
      <c r="I176" s="67"/>
      <c r="J176" s="70" t="str">
        <f t="shared" si="2"/>
        <v/>
      </c>
      <c r="K176" s="64"/>
      <c r="L176" s="65"/>
      <c r="M176" s="64"/>
    </row>
    <row r="177" spans="1:13" x14ac:dyDescent="0.25">
      <c r="A177" s="64"/>
      <c r="B177" s="65"/>
      <c r="C177" s="64"/>
      <c r="D177" s="64"/>
      <c r="E177" s="64"/>
      <c r="F177" s="64"/>
      <c r="G177" s="64"/>
      <c r="H177" s="66"/>
      <c r="I177" s="67"/>
      <c r="J177" s="70" t="str">
        <f t="shared" si="2"/>
        <v/>
      </c>
      <c r="K177" s="64"/>
      <c r="L177" s="65"/>
      <c r="M177" s="64"/>
    </row>
    <row r="178" spans="1:13" x14ac:dyDescent="0.25">
      <c r="A178" s="64"/>
      <c r="B178" s="65"/>
      <c r="C178" s="64"/>
      <c r="D178" s="64"/>
      <c r="E178" s="64"/>
      <c r="F178" s="64"/>
      <c r="G178" s="64"/>
      <c r="H178" s="66"/>
      <c r="I178" s="67"/>
      <c r="J178" s="70" t="str">
        <f t="shared" si="2"/>
        <v/>
      </c>
      <c r="K178" s="64"/>
      <c r="L178" s="65"/>
      <c r="M178" s="64"/>
    </row>
    <row r="179" spans="1:13" x14ac:dyDescent="0.25">
      <c r="A179" s="64"/>
      <c r="B179" s="65"/>
      <c r="C179" s="64"/>
      <c r="D179" s="64"/>
      <c r="E179" s="64"/>
      <c r="F179" s="64"/>
      <c r="G179" s="64"/>
      <c r="H179" s="66"/>
      <c r="I179" s="67"/>
      <c r="J179" s="70" t="str">
        <f t="shared" si="2"/>
        <v/>
      </c>
      <c r="K179" s="64"/>
      <c r="L179" s="65"/>
      <c r="M179" s="64"/>
    </row>
    <row r="180" spans="1:13" x14ac:dyDescent="0.25">
      <c r="A180" s="64"/>
      <c r="B180" s="65"/>
      <c r="C180" s="64"/>
      <c r="D180" s="64"/>
      <c r="E180" s="64"/>
      <c r="F180" s="64"/>
      <c r="G180" s="64"/>
      <c r="H180" s="66"/>
      <c r="I180" s="67"/>
      <c r="J180" s="70" t="str">
        <f t="shared" si="2"/>
        <v/>
      </c>
      <c r="K180" s="64"/>
      <c r="L180" s="65"/>
      <c r="M180" s="64"/>
    </row>
    <row r="181" spans="1:13" x14ac:dyDescent="0.25">
      <c r="A181" s="64"/>
      <c r="B181" s="65"/>
      <c r="C181" s="64"/>
      <c r="D181" s="64"/>
      <c r="E181" s="64"/>
      <c r="F181" s="64"/>
      <c r="G181" s="64"/>
      <c r="H181" s="66"/>
      <c r="I181" s="67"/>
      <c r="J181" s="70" t="str">
        <f t="shared" si="2"/>
        <v/>
      </c>
      <c r="K181" s="64"/>
      <c r="L181" s="65"/>
      <c r="M181" s="64"/>
    </row>
    <row r="182" spans="1:13" x14ac:dyDescent="0.25">
      <c r="A182" s="64"/>
      <c r="B182" s="65"/>
      <c r="C182" s="64"/>
      <c r="D182" s="64"/>
      <c r="E182" s="64"/>
      <c r="F182" s="64"/>
      <c r="G182" s="64"/>
      <c r="H182" s="66"/>
      <c r="I182" s="67"/>
      <c r="J182" s="70" t="str">
        <f t="shared" si="2"/>
        <v/>
      </c>
      <c r="K182" s="64"/>
      <c r="L182" s="65"/>
      <c r="M182" s="64"/>
    </row>
    <row r="183" spans="1:13" x14ac:dyDescent="0.25">
      <c r="A183" s="64"/>
      <c r="B183" s="65"/>
      <c r="C183" s="64"/>
      <c r="D183" s="64"/>
      <c r="E183" s="64"/>
      <c r="F183" s="64"/>
      <c r="G183" s="64"/>
      <c r="H183" s="66"/>
      <c r="I183" s="67"/>
      <c r="J183" s="70" t="str">
        <f t="shared" si="2"/>
        <v/>
      </c>
      <c r="K183" s="64"/>
      <c r="L183" s="65"/>
      <c r="M183" s="64"/>
    </row>
    <row r="184" spans="1:13" x14ac:dyDescent="0.25">
      <c r="A184" s="64"/>
      <c r="B184" s="65"/>
      <c r="C184" s="64"/>
      <c r="D184" s="64"/>
      <c r="E184" s="64"/>
      <c r="F184" s="64"/>
      <c r="G184" s="64"/>
      <c r="H184" s="66"/>
      <c r="I184" s="67"/>
      <c r="J184" s="70" t="str">
        <f t="shared" si="2"/>
        <v/>
      </c>
      <c r="K184" s="64"/>
      <c r="L184" s="65"/>
      <c r="M184" s="64"/>
    </row>
    <row r="185" spans="1:13" x14ac:dyDescent="0.25">
      <c r="A185" s="64"/>
      <c r="B185" s="65"/>
      <c r="C185" s="64"/>
      <c r="D185" s="64"/>
      <c r="E185" s="64"/>
      <c r="F185" s="64"/>
      <c r="G185" s="64"/>
      <c r="H185" s="66"/>
      <c r="I185" s="67"/>
      <c r="J185" s="70" t="str">
        <f t="shared" si="2"/>
        <v/>
      </c>
      <c r="K185" s="64"/>
      <c r="L185" s="65"/>
      <c r="M185" s="64"/>
    </row>
    <row r="186" spans="1:13" x14ac:dyDescent="0.25">
      <c r="A186" s="64"/>
      <c r="B186" s="65"/>
      <c r="C186" s="64"/>
      <c r="D186" s="64"/>
      <c r="E186" s="64"/>
      <c r="F186" s="64"/>
      <c r="G186" s="64"/>
      <c r="H186" s="66"/>
      <c r="I186" s="67"/>
      <c r="J186" s="70" t="str">
        <f t="shared" si="2"/>
        <v/>
      </c>
      <c r="K186" s="64"/>
      <c r="L186" s="65"/>
      <c r="M186" s="64"/>
    </row>
    <row r="187" spans="1:13" x14ac:dyDescent="0.25">
      <c r="A187" s="64"/>
      <c r="B187" s="65"/>
      <c r="C187" s="64"/>
      <c r="D187" s="64"/>
      <c r="E187" s="64"/>
      <c r="F187" s="64"/>
      <c r="G187" s="64"/>
      <c r="H187" s="66"/>
      <c r="I187" s="67"/>
      <c r="J187" s="70" t="str">
        <f t="shared" si="2"/>
        <v/>
      </c>
      <c r="K187" s="64"/>
      <c r="L187" s="65"/>
      <c r="M187" s="64"/>
    </row>
    <row r="188" spans="1:13" x14ac:dyDescent="0.25">
      <c r="A188" s="64"/>
      <c r="B188" s="65"/>
      <c r="C188" s="64"/>
      <c r="D188" s="64"/>
      <c r="E188" s="64"/>
      <c r="F188" s="64"/>
      <c r="G188" s="64"/>
      <c r="H188" s="66"/>
      <c r="I188" s="67"/>
      <c r="J188" s="70" t="str">
        <f t="shared" si="2"/>
        <v/>
      </c>
      <c r="K188" s="64"/>
      <c r="L188" s="65"/>
      <c r="M188" s="64"/>
    </row>
    <row r="189" spans="1:13" x14ac:dyDescent="0.25">
      <c r="A189" s="64"/>
      <c r="B189" s="65"/>
      <c r="C189" s="64"/>
      <c r="D189" s="64"/>
      <c r="E189" s="64"/>
      <c r="F189" s="64"/>
      <c r="G189" s="64"/>
      <c r="H189" s="66"/>
      <c r="I189" s="67"/>
      <c r="J189" s="70" t="str">
        <f t="shared" si="2"/>
        <v/>
      </c>
      <c r="K189" s="64"/>
      <c r="L189" s="65"/>
      <c r="M189" s="64"/>
    </row>
    <row r="190" spans="1:13" x14ac:dyDescent="0.25">
      <c r="A190" s="64"/>
      <c r="B190" s="65"/>
      <c r="C190" s="64"/>
      <c r="D190" s="64"/>
      <c r="E190" s="64"/>
      <c r="F190" s="64"/>
      <c r="G190" s="64"/>
      <c r="H190" s="66"/>
      <c r="I190" s="67"/>
      <c r="J190" s="70" t="str">
        <f t="shared" si="2"/>
        <v/>
      </c>
      <c r="K190" s="64"/>
      <c r="L190" s="65"/>
      <c r="M190" s="64"/>
    </row>
    <row r="191" spans="1:13" x14ac:dyDescent="0.25">
      <c r="A191" s="64"/>
      <c r="B191" s="65"/>
      <c r="C191" s="64"/>
      <c r="D191" s="64"/>
      <c r="E191" s="64"/>
      <c r="F191" s="64"/>
      <c r="G191" s="64"/>
      <c r="H191" s="66"/>
      <c r="I191" s="67"/>
      <c r="J191" s="70" t="str">
        <f t="shared" si="2"/>
        <v/>
      </c>
      <c r="K191" s="64"/>
      <c r="L191" s="65"/>
      <c r="M191" s="64"/>
    </row>
    <row r="192" spans="1:13" x14ac:dyDescent="0.25">
      <c r="A192" s="64"/>
      <c r="B192" s="65"/>
      <c r="C192" s="64"/>
      <c r="D192" s="64"/>
      <c r="E192" s="64"/>
      <c r="F192" s="64"/>
      <c r="G192" s="64"/>
      <c r="H192" s="66"/>
      <c r="I192" s="67"/>
      <c r="J192" s="70" t="str">
        <f t="shared" si="2"/>
        <v/>
      </c>
      <c r="K192" s="64"/>
      <c r="L192" s="65"/>
      <c r="M192" s="64"/>
    </row>
    <row r="193" spans="1:13" x14ac:dyDescent="0.25">
      <c r="A193" s="64"/>
      <c r="B193" s="65"/>
      <c r="C193" s="64"/>
      <c r="D193" s="64"/>
      <c r="E193" s="64"/>
      <c r="F193" s="64"/>
      <c r="G193" s="64"/>
      <c r="H193" s="66"/>
      <c r="I193" s="67"/>
      <c r="J193" s="70" t="str">
        <f t="shared" si="2"/>
        <v/>
      </c>
      <c r="K193" s="64"/>
      <c r="L193" s="65"/>
      <c r="M193" s="64"/>
    </row>
    <row r="194" spans="1:13" x14ac:dyDescent="0.25">
      <c r="A194" s="64"/>
      <c r="B194" s="65"/>
      <c r="C194" s="64"/>
      <c r="D194" s="64"/>
      <c r="E194" s="64"/>
      <c r="F194" s="64"/>
      <c r="G194" s="64"/>
      <c r="H194" s="66"/>
      <c r="I194" s="67"/>
      <c r="J194" s="70" t="str">
        <f t="shared" si="2"/>
        <v/>
      </c>
      <c r="K194" s="64"/>
      <c r="L194" s="65"/>
      <c r="M194" s="64"/>
    </row>
    <row r="195" spans="1:13" x14ac:dyDescent="0.25">
      <c r="A195" s="64"/>
      <c r="B195" s="65"/>
      <c r="C195" s="64"/>
      <c r="D195" s="64"/>
      <c r="E195" s="64"/>
      <c r="F195" s="64"/>
      <c r="G195" s="64"/>
      <c r="H195" s="66"/>
      <c r="I195" s="67"/>
      <c r="J195" s="70" t="str">
        <f t="shared" ref="J195:J258" si="3">IFERROR(IF(OR(H195="",I195=""),"",H195*I195),"")</f>
        <v/>
      </c>
      <c r="K195" s="64"/>
      <c r="L195" s="65"/>
      <c r="M195" s="64"/>
    </row>
    <row r="196" spans="1:13" x14ac:dyDescent="0.25">
      <c r="A196" s="64"/>
      <c r="B196" s="65"/>
      <c r="C196" s="64"/>
      <c r="D196" s="64"/>
      <c r="E196" s="64"/>
      <c r="F196" s="64"/>
      <c r="G196" s="64"/>
      <c r="H196" s="66"/>
      <c r="I196" s="67"/>
      <c r="J196" s="70" t="str">
        <f t="shared" si="3"/>
        <v/>
      </c>
      <c r="K196" s="64"/>
      <c r="L196" s="65"/>
      <c r="M196" s="64"/>
    </row>
    <row r="197" spans="1:13" x14ac:dyDescent="0.25">
      <c r="A197" s="64"/>
      <c r="B197" s="65"/>
      <c r="C197" s="64"/>
      <c r="D197" s="64"/>
      <c r="E197" s="64"/>
      <c r="F197" s="64"/>
      <c r="G197" s="64"/>
      <c r="H197" s="66"/>
      <c r="I197" s="67"/>
      <c r="J197" s="70" t="str">
        <f t="shared" si="3"/>
        <v/>
      </c>
      <c r="K197" s="64"/>
      <c r="L197" s="65"/>
      <c r="M197" s="64"/>
    </row>
    <row r="198" spans="1:13" x14ac:dyDescent="0.25">
      <c r="A198" s="64"/>
      <c r="B198" s="65"/>
      <c r="C198" s="64"/>
      <c r="D198" s="64"/>
      <c r="E198" s="64"/>
      <c r="F198" s="64"/>
      <c r="G198" s="64"/>
      <c r="H198" s="66"/>
      <c r="I198" s="67"/>
      <c r="J198" s="70" t="str">
        <f t="shared" si="3"/>
        <v/>
      </c>
      <c r="K198" s="64"/>
      <c r="L198" s="65"/>
      <c r="M198" s="64"/>
    </row>
    <row r="199" spans="1:13" x14ac:dyDescent="0.25">
      <c r="A199" s="64"/>
      <c r="B199" s="65"/>
      <c r="C199" s="64"/>
      <c r="D199" s="64"/>
      <c r="E199" s="64"/>
      <c r="F199" s="64"/>
      <c r="G199" s="64"/>
      <c r="H199" s="66"/>
      <c r="I199" s="67"/>
      <c r="J199" s="70" t="str">
        <f t="shared" si="3"/>
        <v/>
      </c>
      <c r="K199" s="64"/>
      <c r="L199" s="65"/>
      <c r="M199" s="64"/>
    </row>
    <row r="200" spans="1:13" x14ac:dyDescent="0.25">
      <c r="A200" s="64"/>
      <c r="B200" s="65"/>
      <c r="C200" s="64"/>
      <c r="D200" s="64"/>
      <c r="E200" s="64"/>
      <c r="F200" s="64"/>
      <c r="G200" s="64"/>
      <c r="H200" s="66"/>
      <c r="I200" s="67"/>
      <c r="J200" s="70" t="str">
        <f t="shared" si="3"/>
        <v/>
      </c>
      <c r="K200" s="64"/>
      <c r="L200" s="65"/>
      <c r="M200" s="64"/>
    </row>
    <row r="201" spans="1:13" x14ac:dyDescent="0.25">
      <c r="A201" s="64"/>
      <c r="B201" s="65"/>
      <c r="C201" s="64"/>
      <c r="D201" s="64"/>
      <c r="E201" s="64"/>
      <c r="F201" s="64"/>
      <c r="G201" s="64"/>
      <c r="H201" s="66"/>
      <c r="I201" s="67"/>
      <c r="J201" s="70" t="str">
        <f t="shared" si="3"/>
        <v/>
      </c>
      <c r="K201" s="64"/>
      <c r="L201" s="65"/>
      <c r="M201" s="64"/>
    </row>
    <row r="202" spans="1:13" x14ac:dyDescent="0.25">
      <c r="A202" s="64"/>
      <c r="B202" s="65"/>
      <c r="C202" s="64"/>
      <c r="D202" s="64"/>
      <c r="E202" s="64"/>
      <c r="F202" s="64"/>
      <c r="G202" s="64"/>
      <c r="H202" s="66"/>
      <c r="I202" s="67"/>
      <c r="J202" s="70" t="str">
        <f t="shared" si="3"/>
        <v/>
      </c>
      <c r="K202" s="64"/>
      <c r="L202" s="65"/>
      <c r="M202" s="64"/>
    </row>
    <row r="203" spans="1:13" x14ac:dyDescent="0.25">
      <c r="A203" s="64"/>
      <c r="B203" s="65"/>
      <c r="C203" s="64"/>
      <c r="D203" s="64"/>
      <c r="E203" s="64"/>
      <c r="F203" s="64"/>
      <c r="G203" s="64"/>
      <c r="H203" s="66"/>
      <c r="I203" s="67"/>
      <c r="J203" s="70" t="str">
        <f t="shared" si="3"/>
        <v/>
      </c>
      <c r="K203" s="64"/>
      <c r="L203" s="65"/>
      <c r="M203" s="64"/>
    </row>
    <row r="204" spans="1:13" x14ac:dyDescent="0.25">
      <c r="A204" s="64"/>
      <c r="B204" s="65"/>
      <c r="C204" s="64"/>
      <c r="D204" s="64"/>
      <c r="E204" s="64"/>
      <c r="F204" s="64"/>
      <c r="G204" s="64"/>
      <c r="H204" s="66"/>
      <c r="I204" s="67"/>
      <c r="J204" s="70" t="str">
        <f t="shared" si="3"/>
        <v/>
      </c>
      <c r="K204" s="64"/>
      <c r="L204" s="65"/>
      <c r="M204" s="64"/>
    </row>
    <row r="205" spans="1:13" x14ac:dyDescent="0.25">
      <c r="A205" s="64"/>
      <c r="B205" s="65"/>
      <c r="C205" s="64"/>
      <c r="D205" s="64"/>
      <c r="E205" s="64"/>
      <c r="F205" s="64"/>
      <c r="G205" s="64"/>
      <c r="H205" s="66"/>
      <c r="I205" s="67"/>
      <c r="J205" s="70" t="str">
        <f t="shared" si="3"/>
        <v/>
      </c>
      <c r="K205" s="64"/>
      <c r="L205" s="65"/>
      <c r="M205" s="64"/>
    </row>
    <row r="206" spans="1:13" x14ac:dyDescent="0.25">
      <c r="A206" s="64"/>
      <c r="B206" s="65"/>
      <c r="C206" s="64"/>
      <c r="D206" s="64"/>
      <c r="E206" s="64"/>
      <c r="F206" s="64"/>
      <c r="G206" s="64"/>
      <c r="H206" s="66"/>
      <c r="I206" s="67"/>
      <c r="J206" s="70" t="str">
        <f t="shared" si="3"/>
        <v/>
      </c>
      <c r="K206" s="64"/>
      <c r="L206" s="65"/>
      <c r="M206" s="64"/>
    </row>
    <row r="207" spans="1:13" x14ac:dyDescent="0.25">
      <c r="A207" s="64"/>
      <c r="B207" s="65"/>
      <c r="C207" s="64"/>
      <c r="D207" s="64"/>
      <c r="E207" s="64"/>
      <c r="F207" s="64"/>
      <c r="G207" s="64"/>
      <c r="H207" s="66"/>
      <c r="I207" s="67"/>
      <c r="J207" s="70" t="str">
        <f t="shared" si="3"/>
        <v/>
      </c>
      <c r="K207" s="64"/>
      <c r="L207" s="65"/>
      <c r="M207" s="64"/>
    </row>
    <row r="208" spans="1:13" x14ac:dyDescent="0.25">
      <c r="A208" s="64"/>
      <c r="B208" s="65"/>
      <c r="C208" s="64"/>
      <c r="D208" s="64"/>
      <c r="E208" s="64"/>
      <c r="F208" s="64"/>
      <c r="G208" s="64"/>
      <c r="H208" s="66"/>
      <c r="I208" s="67"/>
      <c r="J208" s="70" t="str">
        <f t="shared" si="3"/>
        <v/>
      </c>
      <c r="K208" s="64"/>
      <c r="L208" s="65"/>
      <c r="M208" s="64"/>
    </row>
    <row r="209" spans="1:13" x14ac:dyDescent="0.25">
      <c r="A209" s="64"/>
      <c r="B209" s="65"/>
      <c r="C209" s="64"/>
      <c r="D209" s="64"/>
      <c r="E209" s="64"/>
      <c r="F209" s="64"/>
      <c r="G209" s="64"/>
      <c r="H209" s="66"/>
      <c r="I209" s="67"/>
      <c r="J209" s="70" t="str">
        <f t="shared" si="3"/>
        <v/>
      </c>
      <c r="K209" s="64"/>
      <c r="L209" s="65"/>
      <c r="M209" s="64"/>
    </row>
    <row r="210" spans="1:13" x14ac:dyDescent="0.25">
      <c r="A210" s="64"/>
      <c r="B210" s="65"/>
      <c r="C210" s="64"/>
      <c r="D210" s="64"/>
      <c r="E210" s="64"/>
      <c r="F210" s="64"/>
      <c r="G210" s="64"/>
      <c r="H210" s="66"/>
      <c r="I210" s="67"/>
      <c r="J210" s="70" t="str">
        <f t="shared" si="3"/>
        <v/>
      </c>
      <c r="K210" s="64"/>
      <c r="L210" s="65"/>
      <c r="M210" s="64"/>
    </row>
    <row r="211" spans="1:13" x14ac:dyDescent="0.25">
      <c r="A211" s="64"/>
      <c r="B211" s="65"/>
      <c r="C211" s="64"/>
      <c r="D211" s="64"/>
      <c r="E211" s="64"/>
      <c r="F211" s="64"/>
      <c r="G211" s="64"/>
      <c r="H211" s="66"/>
      <c r="I211" s="67"/>
      <c r="J211" s="70" t="str">
        <f t="shared" si="3"/>
        <v/>
      </c>
      <c r="K211" s="64"/>
      <c r="L211" s="65"/>
      <c r="M211" s="64"/>
    </row>
    <row r="212" spans="1:13" x14ac:dyDescent="0.25">
      <c r="A212" s="64"/>
      <c r="B212" s="65"/>
      <c r="C212" s="64"/>
      <c r="D212" s="64"/>
      <c r="E212" s="64"/>
      <c r="F212" s="64"/>
      <c r="G212" s="64"/>
      <c r="H212" s="66"/>
      <c r="I212" s="67"/>
      <c r="J212" s="70" t="str">
        <f t="shared" si="3"/>
        <v/>
      </c>
      <c r="K212" s="64"/>
      <c r="L212" s="65"/>
      <c r="M212" s="64"/>
    </row>
    <row r="213" spans="1:13" x14ac:dyDescent="0.25">
      <c r="A213" s="64"/>
      <c r="B213" s="65"/>
      <c r="C213" s="64"/>
      <c r="D213" s="64"/>
      <c r="E213" s="64"/>
      <c r="F213" s="64"/>
      <c r="G213" s="64"/>
      <c r="H213" s="66"/>
      <c r="I213" s="67"/>
      <c r="J213" s="70" t="str">
        <f t="shared" si="3"/>
        <v/>
      </c>
      <c r="K213" s="64"/>
      <c r="L213" s="65"/>
      <c r="M213" s="64"/>
    </row>
    <row r="214" spans="1:13" x14ac:dyDescent="0.25">
      <c r="A214" s="64"/>
      <c r="B214" s="65"/>
      <c r="C214" s="64"/>
      <c r="D214" s="64"/>
      <c r="E214" s="64"/>
      <c r="F214" s="64"/>
      <c r="G214" s="64"/>
      <c r="H214" s="66"/>
      <c r="I214" s="67"/>
      <c r="J214" s="70" t="str">
        <f t="shared" si="3"/>
        <v/>
      </c>
      <c r="K214" s="64"/>
      <c r="L214" s="65"/>
      <c r="M214" s="64"/>
    </row>
    <row r="215" spans="1:13" x14ac:dyDescent="0.25">
      <c r="A215" s="64"/>
      <c r="B215" s="65"/>
      <c r="C215" s="64"/>
      <c r="D215" s="64"/>
      <c r="E215" s="64"/>
      <c r="F215" s="64"/>
      <c r="G215" s="64"/>
      <c r="H215" s="66"/>
      <c r="I215" s="67"/>
      <c r="J215" s="70" t="str">
        <f t="shared" si="3"/>
        <v/>
      </c>
      <c r="K215" s="64"/>
      <c r="L215" s="65"/>
      <c r="M215" s="64"/>
    </row>
    <row r="216" spans="1:13" x14ac:dyDescent="0.25">
      <c r="A216" s="64"/>
      <c r="B216" s="65"/>
      <c r="C216" s="64"/>
      <c r="D216" s="64"/>
      <c r="E216" s="64"/>
      <c r="F216" s="64"/>
      <c r="G216" s="64"/>
      <c r="H216" s="66"/>
      <c r="I216" s="67"/>
      <c r="J216" s="70" t="str">
        <f t="shared" si="3"/>
        <v/>
      </c>
      <c r="K216" s="64"/>
      <c r="L216" s="65"/>
      <c r="M216" s="64"/>
    </row>
    <row r="217" spans="1:13" x14ac:dyDescent="0.25">
      <c r="A217" s="64"/>
      <c r="B217" s="65"/>
      <c r="C217" s="64"/>
      <c r="D217" s="64"/>
      <c r="E217" s="64"/>
      <c r="F217" s="64"/>
      <c r="G217" s="64"/>
      <c r="H217" s="66"/>
      <c r="I217" s="67"/>
      <c r="J217" s="70" t="str">
        <f t="shared" si="3"/>
        <v/>
      </c>
      <c r="K217" s="64"/>
      <c r="L217" s="65"/>
      <c r="M217" s="64"/>
    </row>
    <row r="218" spans="1:13" x14ac:dyDescent="0.25">
      <c r="A218" s="64"/>
      <c r="B218" s="65"/>
      <c r="C218" s="64"/>
      <c r="D218" s="64"/>
      <c r="E218" s="64"/>
      <c r="F218" s="64"/>
      <c r="G218" s="64"/>
      <c r="H218" s="66"/>
      <c r="I218" s="67"/>
      <c r="J218" s="70" t="str">
        <f t="shared" si="3"/>
        <v/>
      </c>
      <c r="K218" s="64"/>
      <c r="L218" s="65"/>
      <c r="M218" s="64"/>
    </row>
    <row r="219" spans="1:13" x14ac:dyDescent="0.25">
      <c r="A219" s="64"/>
      <c r="B219" s="65"/>
      <c r="C219" s="64"/>
      <c r="D219" s="64"/>
      <c r="E219" s="64"/>
      <c r="F219" s="64"/>
      <c r="G219" s="64"/>
      <c r="H219" s="66"/>
      <c r="I219" s="67"/>
      <c r="J219" s="70" t="str">
        <f t="shared" si="3"/>
        <v/>
      </c>
      <c r="K219" s="64"/>
      <c r="L219" s="65"/>
      <c r="M219" s="64"/>
    </row>
    <row r="220" spans="1:13" x14ac:dyDescent="0.25">
      <c r="A220" s="64"/>
      <c r="B220" s="65"/>
      <c r="C220" s="64"/>
      <c r="D220" s="64"/>
      <c r="E220" s="64"/>
      <c r="F220" s="64"/>
      <c r="G220" s="64"/>
      <c r="H220" s="66"/>
      <c r="I220" s="67"/>
      <c r="J220" s="70" t="str">
        <f t="shared" si="3"/>
        <v/>
      </c>
      <c r="K220" s="64"/>
      <c r="L220" s="65"/>
      <c r="M220" s="64"/>
    </row>
    <row r="221" spans="1:13" x14ac:dyDescent="0.25">
      <c r="A221" s="64"/>
      <c r="B221" s="65"/>
      <c r="C221" s="64"/>
      <c r="D221" s="64"/>
      <c r="E221" s="64"/>
      <c r="F221" s="64"/>
      <c r="G221" s="64"/>
      <c r="H221" s="66"/>
      <c r="I221" s="67"/>
      <c r="J221" s="70" t="str">
        <f t="shared" si="3"/>
        <v/>
      </c>
      <c r="K221" s="64"/>
      <c r="L221" s="65"/>
      <c r="M221" s="64"/>
    </row>
    <row r="222" spans="1:13" x14ac:dyDescent="0.25">
      <c r="A222" s="64"/>
      <c r="B222" s="65"/>
      <c r="C222" s="64"/>
      <c r="D222" s="64"/>
      <c r="E222" s="64"/>
      <c r="F222" s="64"/>
      <c r="G222" s="64"/>
      <c r="H222" s="66"/>
      <c r="I222" s="67"/>
      <c r="J222" s="70" t="str">
        <f t="shared" si="3"/>
        <v/>
      </c>
      <c r="K222" s="64"/>
      <c r="L222" s="65"/>
      <c r="M222" s="64"/>
    </row>
    <row r="223" spans="1:13" x14ac:dyDescent="0.25">
      <c r="A223" s="64"/>
      <c r="B223" s="65"/>
      <c r="C223" s="64"/>
      <c r="D223" s="64"/>
      <c r="E223" s="64"/>
      <c r="F223" s="64"/>
      <c r="G223" s="64"/>
      <c r="H223" s="66"/>
      <c r="I223" s="67"/>
      <c r="J223" s="70" t="str">
        <f t="shared" si="3"/>
        <v/>
      </c>
      <c r="K223" s="64"/>
      <c r="L223" s="65"/>
      <c r="M223" s="64"/>
    </row>
    <row r="224" spans="1:13" x14ac:dyDescent="0.25">
      <c r="A224" s="64"/>
      <c r="B224" s="65"/>
      <c r="C224" s="64"/>
      <c r="D224" s="64"/>
      <c r="E224" s="64"/>
      <c r="F224" s="64"/>
      <c r="G224" s="64"/>
      <c r="H224" s="66"/>
      <c r="I224" s="67"/>
      <c r="J224" s="70" t="str">
        <f t="shared" si="3"/>
        <v/>
      </c>
      <c r="K224" s="64"/>
      <c r="L224" s="65"/>
      <c r="M224" s="64"/>
    </row>
    <row r="225" spans="1:13" x14ac:dyDescent="0.25">
      <c r="A225" s="64"/>
      <c r="B225" s="65"/>
      <c r="C225" s="64"/>
      <c r="D225" s="64"/>
      <c r="E225" s="64"/>
      <c r="F225" s="64"/>
      <c r="G225" s="64"/>
      <c r="H225" s="66"/>
      <c r="I225" s="67"/>
      <c r="J225" s="70" t="str">
        <f t="shared" si="3"/>
        <v/>
      </c>
      <c r="K225" s="64"/>
      <c r="L225" s="65"/>
      <c r="M225" s="64"/>
    </row>
    <row r="226" spans="1:13" x14ac:dyDescent="0.25">
      <c r="A226" s="64"/>
      <c r="B226" s="65"/>
      <c r="C226" s="64"/>
      <c r="D226" s="64"/>
      <c r="E226" s="64"/>
      <c r="F226" s="64"/>
      <c r="G226" s="64"/>
      <c r="H226" s="66"/>
      <c r="I226" s="67"/>
      <c r="J226" s="70" t="str">
        <f t="shared" si="3"/>
        <v/>
      </c>
      <c r="K226" s="64"/>
      <c r="L226" s="65"/>
      <c r="M226" s="64"/>
    </row>
    <row r="227" spans="1:13" x14ac:dyDescent="0.25">
      <c r="A227" s="64"/>
      <c r="B227" s="65"/>
      <c r="C227" s="64"/>
      <c r="D227" s="64"/>
      <c r="E227" s="64"/>
      <c r="F227" s="64"/>
      <c r="G227" s="64"/>
      <c r="H227" s="66"/>
      <c r="I227" s="67"/>
      <c r="J227" s="70" t="str">
        <f t="shared" si="3"/>
        <v/>
      </c>
      <c r="K227" s="64"/>
      <c r="L227" s="65"/>
      <c r="M227" s="64"/>
    </row>
    <row r="228" spans="1:13" x14ac:dyDescent="0.25">
      <c r="A228" s="64"/>
      <c r="B228" s="65"/>
      <c r="C228" s="64"/>
      <c r="D228" s="64"/>
      <c r="E228" s="64"/>
      <c r="F228" s="64"/>
      <c r="G228" s="64"/>
      <c r="H228" s="66"/>
      <c r="I228" s="67"/>
      <c r="J228" s="70" t="str">
        <f t="shared" si="3"/>
        <v/>
      </c>
      <c r="K228" s="64"/>
      <c r="L228" s="65"/>
      <c r="M228" s="64"/>
    </row>
    <row r="229" spans="1:13" x14ac:dyDescent="0.25">
      <c r="A229" s="64"/>
      <c r="B229" s="65"/>
      <c r="C229" s="64"/>
      <c r="D229" s="64"/>
      <c r="E229" s="64"/>
      <c r="F229" s="64"/>
      <c r="G229" s="64"/>
      <c r="H229" s="66"/>
      <c r="I229" s="67"/>
      <c r="J229" s="70" t="str">
        <f t="shared" si="3"/>
        <v/>
      </c>
      <c r="K229" s="64"/>
      <c r="L229" s="65"/>
      <c r="M229" s="64"/>
    </row>
    <row r="230" spans="1:13" x14ac:dyDescent="0.25">
      <c r="A230" s="64"/>
      <c r="B230" s="65"/>
      <c r="C230" s="64"/>
      <c r="D230" s="64"/>
      <c r="E230" s="64"/>
      <c r="F230" s="64"/>
      <c r="G230" s="64"/>
      <c r="H230" s="66"/>
      <c r="I230" s="67"/>
      <c r="J230" s="70" t="str">
        <f t="shared" si="3"/>
        <v/>
      </c>
      <c r="K230" s="64"/>
      <c r="L230" s="65"/>
      <c r="M230" s="64"/>
    </row>
    <row r="231" spans="1:13" x14ac:dyDescent="0.25">
      <c r="A231" s="64"/>
      <c r="B231" s="65"/>
      <c r="C231" s="64"/>
      <c r="D231" s="64"/>
      <c r="E231" s="64"/>
      <c r="F231" s="64"/>
      <c r="G231" s="64"/>
      <c r="H231" s="66"/>
      <c r="I231" s="67"/>
      <c r="J231" s="70" t="str">
        <f t="shared" si="3"/>
        <v/>
      </c>
      <c r="K231" s="64"/>
      <c r="L231" s="65"/>
      <c r="M231" s="64"/>
    </row>
    <row r="232" spans="1:13" x14ac:dyDescent="0.25">
      <c r="A232" s="64"/>
      <c r="B232" s="65"/>
      <c r="C232" s="64"/>
      <c r="D232" s="64"/>
      <c r="E232" s="64"/>
      <c r="F232" s="64"/>
      <c r="G232" s="64"/>
      <c r="H232" s="66"/>
      <c r="I232" s="67"/>
      <c r="J232" s="70" t="str">
        <f t="shared" si="3"/>
        <v/>
      </c>
      <c r="K232" s="64"/>
      <c r="L232" s="65"/>
      <c r="M232" s="64"/>
    </row>
    <row r="233" spans="1:13" x14ac:dyDescent="0.25">
      <c r="A233" s="64"/>
      <c r="B233" s="65"/>
      <c r="C233" s="64"/>
      <c r="D233" s="64"/>
      <c r="E233" s="64"/>
      <c r="F233" s="64"/>
      <c r="G233" s="64"/>
      <c r="H233" s="66"/>
      <c r="I233" s="67"/>
      <c r="J233" s="70" t="str">
        <f t="shared" si="3"/>
        <v/>
      </c>
      <c r="K233" s="64"/>
      <c r="L233" s="65"/>
      <c r="M233" s="64"/>
    </row>
    <row r="234" spans="1:13" x14ac:dyDescent="0.25">
      <c r="A234" s="64"/>
      <c r="B234" s="65"/>
      <c r="C234" s="64"/>
      <c r="D234" s="64"/>
      <c r="E234" s="64"/>
      <c r="F234" s="64"/>
      <c r="G234" s="64"/>
      <c r="H234" s="66"/>
      <c r="I234" s="67"/>
      <c r="J234" s="70" t="str">
        <f t="shared" si="3"/>
        <v/>
      </c>
      <c r="K234" s="64"/>
      <c r="L234" s="65"/>
      <c r="M234" s="64"/>
    </row>
    <row r="235" spans="1:13" x14ac:dyDescent="0.25">
      <c r="A235" s="64"/>
      <c r="B235" s="65"/>
      <c r="C235" s="64"/>
      <c r="D235" s="64"/>
      <c r="E235" s="64"/>
      <c r="F235" s="64"/>
      <c r="G235" s="64"/>
      <c r="H235" s="66"/>
      <c r="I235" s="67"/>
      <c r="J235" s="70" t="str">
        <f t="shared" si="3"/>
        <v/>
      </c>
      <c r="K235" s="64"/>
      <c r="L235" s="65"/>
      <c r="M235" s="64"/>
    </row>
    <row r="236" spans="1:13" x14ac:dyDescent="0.25">
      <c r="A236" s="64"/>
      <c r="B236" s="65"/>
      <c r="C236" s="64"/>
      <c r="D236" s="64"/>
      <c r="E236" s="64"/>
      <c r="F236" s="64"/>
      <c r="G236" s="64"/>
      <c r="H236" s="66"/>
      <c r="I236" s="67"/>
      <c r="J236" s="70" t="str">
        <f t="shared" si="3"/>
        <v/>
      </c>
      <c r="K236" s="64"/>
      <c r="L236" s="65"/>
      <c r="M236" s="64"/>
    </row>
    <row r="237" spans="1:13" x14ac:dyDescent="0.25">
      <c r="A237" s="64"/>
      <c r="B237" s="65"/>
      <c r="C237" s="64"/>
      <c r="D237" s="64"/>
      <c r="E237" s="64"/>
      <c r="F237" s="64"/>
      <c r="G237" s="64"/>
      <c r="H237" s="66"/>
      <c r="I237" s="67"/>
      <c r="J237" s="70" t="str">
        <f t="shared" si="3"/>
        <v/>
      </c>
      <c r="K237" s="64"/>
      <c r="L237" s="65"/>
      <c r="M237" s="64"/>
    </row>
    <row r="238" spans="1:13" x14ac:dyDescent="0.25">
      <c r="A238" s="64"/>
      <c r="B238" s="65"/>
      <c r="C238" s="64"/>
      <c r="D238" s="64"/>
      <c r="E238" s="64"/>
      <c r="F238" s="64"/>
      <c r="G238" s="64"/>
      <c r="H238" s="66"/>
      <c r="I238" s="67"/>
      <c r="J238" s="70" t="str">
        <f t="shared" si="3"/>
        <v/>
      </c>
      <c r="K238" s="64"/>
      <c r="L238" s="65"/>
      <c r="M238" s="64"/>
    </row>
    <row r="239" spans="1:13" x14ac:dyDescent="0.25">
      <c r="A239" s="64"/>
      <c r="B239" s="65"/>
      <c r="C239" s="64"/>
      <c r="D239" s="64"/>
      <c r="E239" s="64"/>
      <c r="F239" s="64"/>
      <c r="G239" s="64"/>
      <c r="H239" s="66"/>
      <c r="I239" s="67"/>
      <c r="J239" s="70" t="str">
        <f t="shared" si="3"/>
        <v/>
      </c>
      <c r="K239" s="64"/>
      <c r="L239" s="65"/>
      <c r="M239" s="64"/>
    </row>
    <row r="240" spans="1:13" x14ac:dyDescent="0.25">
      <c r="A240" s="64"/>
      <c r="B240" s="65"/>
      <c r="C240" s="64"/>
      <c r="D240" s="64"/>
      <c r="E240" s="64"/>
      <c r="F240" s="64"/>
      <c r="G240" s="64"/>
      <c r="H240" s="66"/>
      <c r="I240" s="67"/>
      <c r="J240" s="70" t="str">
        <f t="shared" si="3"/>
        <v/>
      </c>
      <c r="K240" s="64"/>
      <c r="L240" s="65"/>
      <c r="M240" s="64"/>
    </row>
    <row r="241" spans="1:13" x14ac:dyDescent="0.25">
      <c r="A241" s="64"/>
      <c r="B241" s="65"/>
      <c r="C241" s="64"/>
      <c r="D241" s="64"/>
      <c r="E241" s="64"/>
      <c r="F241" s="64"/>
      <c r="G241" s="64"/>
      <c r="H241" s="66"/>
      <c r="I241" s="67"/>
      <c r="J241" s="70" t="str">
        <f t="shared" si="3"/>
        <v/>
      </c>
      <c r="K241" s="64"/>
      <c r="L241" s="65"/>
      <c r="M241" s="64"/>
    </row>
    <row r="242" spans="1:13" x14ac:dyDescent="0.25">
      <c r="A242" s="64"/>
      <c r="B242" s="65"/>
      <c r="C242" s="64"/>
      <c r="D242" s="64"/>
      <c r="E242" s="64"/>
      <c r="F242" s="64"/>
      <c r="G242" s="64"/>
      <c r="H242" s="66"/>
      <c r="I242" s="67"/>
      <c r="J242" s="70" t="str">
        <f t="shared" si="3"/>
        <v/>
      </c>
      <c r="K242" s="64"/>
      <c r="L242" s="65"/>
      <c r="M242" s="64"/>
    </row>
    <row r="243" spans="1:13" x14ac:dyDescent="0.25">
      <c r="A243" s="64"/>
      <c r="B243" s="65"/>
      <c r="C243" s="64"/>
      <c r="D243" s="64"/>
      <c r="E243" s="64"/>
      <c r="F243" s="64"/>
      <c r="G243" s="64"/>
      <c r="H243" s="66"/>
      <c r="I243" s="67"/>
      <c r="J243" s="70" t="str">
        <f t="shared" si="3"/>
        <v/>
      </c>
      <c r="K243" s="64"/>
      <c r="L243" s="65"/>
      <c r="M243" s="64"/>
    </row>
    <row r="244" spans="1:13" x14ac:dyDescent="0.25">
      <c r="A244" s="64"/>
      <c r="B244" s="65"/>
      <c r="C244" s="64"/>
      <c r="D244" s="64"/>
      <c r="E244" s="64"/>
      <c r="F244" s="64"/>
      <c r="G244" s="64"/>
      <c r="H244" s="66"/>
      <c r="I244" s="67"/>
      <c r="J244" s="70" t="str">
        <f t="shared" si="3"/>
        <v/>
      </c>
      <c r="K244" s="64"/>
      <c r="L244" s="65"/>
      <c r="M244" s="64"/>
    </row>
    <row r="245" spans="1:13" x14ac:dyDescent="0.25">
      <c r="A245" s="64"/>
      <c r="B245" s="65"/>
      <c r="C245" s="64"/>
      <c r="D245" s="64"/>
      <c r="E245" s="64"/>
      <c r="F245" s="64"/>
      <c r="G245" s="64"/>
      <c r="H245" s="66"/>
      <c r="I245" s="67"/>
      <c r="J245" s="70" t="str">
        <f t="shared" si="3"/>
        <v/>
      </c>
      <c r="K245" s="64"/>
      <c r="L245" s="65"/>
      <c r="M245" s="64"/>
    </row>
    <row r="246" spans="1:13" x14ac:dyDescent="0.25">
      <c r="A246" s="64"/>
      <c r="B246" s="65"/>
      <c r="C246" s="64"/>
      <c r="D246" s="64"/>
      <c r="E246" s="64"/>
      <c r="F246" s="64"/>
      <c r="G246" s="64"/>
      <c r="H246" s="66"/>
      <c r="I246" s="67"/>
      <c r="J246" s="70" t="str">
        <f t="shared" si="3"/>
        <v/>
      </c>
      <c r="K246" s="64"/>
      <c r="L246" s="65"/>
      <c r="M246" s="64"/>
    </row>
    <row r="247" spans="1:13" x14ac:dyDescent="0.25">
      <c r="A247" s="64"/>
      <c r="B247" s="65"/>
      <c r="C247" s="64"/>
      <c r="D247" s="64"/>
      <c r="E247" s="64"/>
      <c r="F247" s="64"/>
      <c r="G247" s="64"/>
      <c r="H247" s="66"/>
      <c r="I247" s="67"/>
      <c r="J247" s="70" t="str">
        <f t="shared" si="3"/>
        <v/>
      </c>
      <c r="K247" s="64"/>
      <c r="L247" s="65"/>
      <c r="M247" s="64"/>
    </row>
    <row r="248" spans="1:13" x14ac:dyDescent="0.25">
      <c r="A248" s="64"/>
      <c r="B248" s="65"/>
      <c r="C248" s="64"/>
      <c r="D248" s="64"/>
      <c r="E248" s="64"/>
      <c r="F248" s="64"/>
      <c r="G248" s="64"/>
      <c r="H248" s="66"/>
      <c r="I248" s="67"/>
      <c r="J248" s="70" t="str">
        <f t="shared" si="3"/>
        <v/>
      </c>
      <c r="K248" s="64"/>
      <c r="L248" s="65"/>
      <c r="M248" s="64"/>
    </row>
    <row r="249" spans="1:13" x14ac:dyDescent="0.25">
      <c r="A249" s="64"/>
      <c r="B249" s="65"/>
      <c r="C249" s="64"/>
      <c r="D249" s="64"/>
      <c r="E249" s="64"/>
      <c r="F249" s="64"/>
      <c r="G249" s="64"/>
      <c r="H249" s="66"/>
      <c r="I249" s="67"/>
      <c r="J249" s="70" t="str">
        <f t="shared" si="3"/>
        <v/>
      </c>
      <c r="K249" s="64"/>
      <c r="L249" s="65"/>
      <c r="M249" s="64"/>
    </row>
    <row r="250" spans="1:13" x14ac:dyDescent="0.25">
      <c r="A250" s="64"/>
      <c r="B250" s="65"/>
      <c r="C250" s="64"/>
      <c r="D250" s="64"/>
      <c r="E250" s="64"/>
      <c r="F250" s="64"/>
      <c r="G250" s="64"/>
      <c r="H250" s="66"/>
      <c r="I250" s="67"/>
      <c r="J250" s="70" t="str">
        <f t="shared" si="3"/>
        <v/>
      </c>
      <c r="K250" s="64"/>
      <c r="L250" s="65"/>
      <c r="M250" s="64"/>
    </row>
    <row r="251" spans="1:13" x14ac:dyDescent="0.25">
      <c r="A251" s="64"/>
      <c r="B251" s="65"/>
      <c r="C251" s="64"/>
      <c r="D251" s="64"/>
      <c r="E251" s="64"/>
      <c r="F251" s="64"/>
      <c r="G251" s="64"/>
      <c r="H251" s="66"/>
      <c r="I251" s="67"/>
      <c r="J251" s="70" t="str">
        <f t="shared" si="3"/>
        <v/>
      </c>
      <c r="K251" s="64"/>
      <c r="L251" s="65"/>
      <c r="M251" s="64"/>
    </row>
    <row r="252" spans="1:13" x14ac:dyDescent="0.25">
      <c r="A252" s="64"/>
      <c r="B252" s="65"/>
      <c r="C252" s="64"/>
      <c r="D252" s="64"/>
      <c r="E252" s="64"/>
      <c r="F252" s="64"/>
      <c r="G252" s="64"/>
      <c r="H252" s="66"/>
      <c r="I252" s="67"/>
      <c r="J252" s="70" t="str">
        <f t="shared" si="3"/>
        <v/>
      </c>
      <c r="K252" s="64"/>
      <c r="L252" s="65"/>
      <c r="M252" s="64"/>
    </row>
    <row r="253" spans="1:13" x14ac:dyDescent="0.25">
      <c r="A253" s="64"/>
      <c r="B253" s="65"/>
      <c r="C253" s="64"/>
      <c r="D253" s="64"/>
      <c r="E253" s="64"/>
      <c r="F253" s="64"/>
      <c r="G253" s="64"/>
      <c r="H253" s="66"/>
      <c r="I253" s="67"/>
      <c r="J253" s="70" t="str">
        <f t="shared" si="3"/>
        <v/>
      </c>
      <c r="K253" s="64"/>
      <c r="L253" s="65"/>
      <c r="M253" s="64"/>
    </row>
    <row r="254" spans="1:13" x14ac:dyDescent="0.25">
      <c r="A254" s="64"/>
      <c r="B254" s="65"/>
      <c r="C254" s="64"/>
      <c r="D254" s="64"/>
      <c r="E254" s="64"/>
      <c r="F254" s="64"/>
      <c r="G254" s="64"/>
      <c r="H254" s="66"/>
      <c r="I254" s="67"/>
      <c r="J254" s="70" t="str">
        <f t="shared" si="3"/>
        <v/>
      </c>
      <c r="K254" s="64"/>
      <c r="L254" s="65"/>
      <c r="M254" s="64"/>
    </row>
    <row r="255" spans="1:13" x14ac:dyDescent="0.25">
      <c r="A255" s="64"/>
      <c r="B255" s="65"/>
      <c r="C255" s="64"/>
      <c r="D255" s="64"/>
      <c r="E255" s="64"/>
      <c r="F255" s="64"/>
      <c r="G255" s="64"/>
      <c r="H255" s="66"/>
      <c r="I255" s="67"/>
      <c r="J255" s="70" t="str">
        <f t="shared" si="3"/>
        <v/>
      </c>
      <c r="K255" s="64"/>
      <c r="L255" s="65"/>
      <c r="M255" s="64"/>
    </row>
    <row r="256" spans="1:13" x14ac:dyDescent="0.25">
      <c r="A256" s="64"/>
      <c r="B256" s="65"/>
      <c r="C256" s="64"/>
      <c r="D256" s="64"/>
      <c r="E256" s="64"/>
      <c r="F256" s="64"/>
      <c r="G256" s="64"/>
      <c r="H256" s="66"/>
      <c r="I256" s="67"/>
      <c r="J256" s="70" t="str">
        <f t="shared" si="3"/>
        <v/>
      </c>
      <c r="K256" s="64"/>
      <c r="L256" s="65"/>
      <c r="M256" s="64"/>
    </row>
    <row r="257" spans="1:13" x14ac:dyDescent="0.25">
      <c r="A257" s="64"/>
      <c r="B257" s="65"/>
      <c r="C257" s="64"/>
      <c r="D257" s="64"/>
      <c r="E257" s="64"/>
      <c r="F257" s="64"/>
      <c r="G257" s="64"/>
      <c r="H257" s="66"/>
      <c r="I257" s="67"/>
      <c r="J257" s="70" t="str">
        <f t="shared" si="3"/>
        <v/>
      </c>
      <c r="K257" s="64"/>
      <c r="L257" s="65"/>
      <c r="M257" s="64"/>
    </row>
    <row r="258" spans="1:13" x14ac:dyDescent="0.25">
      <c r="A258" s="64"/>
      <c r="B258" s="65"/>
      <c r="C258" s="64"/>
      <c r="D258" s="64"/>
      <c r="E258" s="64"/>
      <c r="F258" s="64"/>
      <c r="G258" s="64"/>
      <c r="H258" s="66"/>
      <c r="I258" s="67"/>
      <c r="J258" s="70" t="str">
        <f t="shared" si="3"/>
        <v/>
      </c>
      <c r="K258" s="64"/>
      <c r="L258" s="65"/>
      <c r="M258" s="64"/>
    </row>
    <row r="259" spans="1:13" x14ac:dyDescent="0.25">
      <c r="A259" s="64"/>
      <c r="B259" s="65"/>
      <c r="C259" s="64"/>
      <c r="D259" s="64"/>
      <c r="E259" s="64"/>
      <c r="F259" s="64"/>
      <c r="G259" s="64"/>
      <c r="H259" s="66"/>
      <c r="I259" s="67"/>
      <c r="J259" s="70" t="str">
        <f t="shared" ref="J259:J302" si="4">IFERROR(IF(OR(H259="",I259=""),"",H259*I259),"")</f>
        <v/>
      </c>
      <c r="K259" s="64"/>
      <c r="L259" s="65"/>
      <c r="M259" s="64"/>
    </row>
    <row r="260" spans="1:13" x14ac:dyDescent="0.25">
      <c r="A260" s="64"/>
      <c r="B260" s="65"/>
      <c r="C260" s="64"/>
      <c r="D260" s="64"/>
      <c r="E260" s="64"/>
      <c r="F260" s="64"/>
      <c r="G260" s="64"/>
      <c r="H260" s="66"/>
      <c r="I260" s="67"/>
      <c r="J260" s="70" t="str">
        <f t="shared" si="4"/>
        <v/>
      </c>
      <c r="K260" s="64"/>
      <c r="L260" s="65"/>
      <c r="M260" s="64"/>
    </row>
    <row r="261" spans="1:13" x14ac:dyDescent="0.25">
      <c r="A261" s="64"/>
      <c r="B261" s="65"/>
      <c r="C261" s="64"/>
      <c r="D261" s="64"/>
      <c r="E261" s="64"/>
      <c r="F261" s="64"/>
      <c r="G261" s="64"/>
      <c r="H261" s="66"/>
      <c r="I261" s="67"/>
      <c r="J261" s="70" t="str">
        <f t="shared" si="4"/>
        <v/>
      </c>
      <c r="K261" s="64"/>
      <c r="L261" s="65"/>
      <c r="M261" s="64"/>
    </row>
    <row r="262" spans="1:13" x14ac:dyDescent="0.25">
      <c r="A262" s="64"/>
      <c r="B262" s="65"/>
      <c r="C262" s="64"/>
      <c r="D262" s="64"/>
      <c r="E262" s="64"/>
      <c r="F262" s="64"/>
      <c r="G262" s="64"/>
      <c r="H262" s="66"/>
      <c r="I262" s="67"/>
      <c r="J262" s="70" t="str">
        <f t="shared" si="4"/>
        <v/>
      </c>
      <c r="K262" s="64"/>
      <c r="L262" s="65"/>
      <c r="M262" s="64"/>
    </row>
    <row r="263" spans="1:13" x14ac:dyDescent="0.25">
      <c r="A263" s="64"/>
      <c r="B263" s="65"/>
      <c r="C263" s="64"/>
      <c r="D263" s="64"/>
      <c r="E263" s="64"/>
      <c r="F263" s="64"/>
      <c r="G263" s="64"/>
      <c r="H263" s="66"/>
      <c r="I263" s="67"/>
      <c r="J263" s="70" t="str">
        <f t="shared" si="4"/>
        <v/>
      </c>
      <c r="K263" s="64"/>
      <c r="L263" s="65"/>
      <c r="M263" s="64"/>
    </row>
    <row r="264" spans="1:13" x14ac:dyDescent="0.25">
      <c r="A264" s="64"/>
      <c r="B264" s="65"/>
      <c r="C264" s="64"/>
      <c r="D264" s="64"/>
      <c r="E264" s="64"/>
      <c r="F264" s="64"/>
      <c r="G264" s="64"/>
      <c r="H264" s="66"/>
      <c r="I264" s="67"/>
      <c r="J264" s="70" t="str">
        <f t="shared" si="4"/>
        <v/>
      </c>
      <c r="K264" s="64"/>
      <c r="L264" s="65"/>
      <c r="M264" s="64"/>
    </row>
    <row r="265" spans="1:13" x14ac:dyDescent="0.25">
      <c r="A265" s="64"/>
      <c r="B265" s="65"/>
      <c r="C265" s="64"/>
      <c r="D265" s="64"/>
      <c r="E265" s="64"/>
      <c r="F265" s="64"/>
      <c r="G265" s="64"/>
      <c r="H265" s="66"/>
      <c r="I265" s="67"/>
      <c r="J265" s="70" t="str">
        <f t="shared" si="4"/>
        <v/>
      </c>
      <c r="K265" s="64"/>
      <c r="L265" s="65"/>
      <c r="M265" s="64"/>
    </row>
    <row r="266" spans="1:13" x14ac:dyDescent="0.25">
      <c r="A266" s="64"/>
      <c r="B266" s="65"/>
      <c r="C266" s="64"/>
      <c r="D266" s="64"/>
      <c r="E266" s="64"/>
      <c r="F266" s="64"/>
      <c r="G266" s="64"/>
      <c r="H266" s="66"/>
      <c r="I266" s="67"/>
      <c r="J266" s="70" t="str">
        <f t="shared" si="4"/>
        <v/>
      </c>
      <c r="K266" s="64"/>
      <c r="L266" s="65"/>
      <c r="M266" s="64"/>
    </row>
    <row r="267" spans="1:13" x14ac:dyDescent="0.25">
      <c r="A267" s="64"/>
      <c r="B267" s="65"/>
      <c r="C267" s="64"/>
      <c r="D267" s="64"/>
      <c r="E267" s="64"/>
      <c r="F267" s="64"/>
      <c r="G267" s="64"/>
      <c r="H267" s="66"/>
      <c r="I267" s="67"/>
      <c r="J267" s="70" t="str">
        <f t="shared" si="4"/>
        <v/>
      </c>
      <c r="K267" s="64"/>
      <c r="L267" s="65"/>
      <c r="M267" s="64"/>
    </row>
    <row r="268" spans="1:13" x14ac:dyDescent="0.25">
      <c r="A268" s="64"/>
      <c r="B268" s="65"/>
      <c r="C268" s="64"/>
      <c r="D268" s="64"/>
      <c r="E268" s="64"/>
      <c r="F268" s="64"/>
      <c r="G268" s="64"/>
      <c r="H268" s="66"/>
      <c r="I268" s="67"/>
      <c r="J268" s="70" t="str">
        <f t="shared" si="4"/>
        <v/>
      </c>
      <c r="K268" s="64"/>
      <c r="L268" s="65"/>
      <c r="M268" s="64"/>
    </row>
    <row r="269" spans="1:13" x14ac:dyDescent="0.25">
      <c r="A269" s="64"/>
      <c r="B269" s="65"/>
      <c r="C269" s="64"/>
      <c r="D269" s="64"/>
      <c r="E269" s="64"/>
      <c r="F269" s="64"/>
      <c r="G269" s="64"/>
      <c r="H269" s="66"/>
      <c r="I269" s="67"/>
      <c r="J269" s="70" t="str">
        <f t="shared" si="4"/>
        <v/>
      </c>
      <c r="K269" s="64"/>
      <c r="L269" s="65"/>
      <c r="M269" s="64"/>
    </row>
    <row r="270" spans="1:13" x14ac:dyDescent="0.25">
      <c r="A270" s="64"/>
      <c r="B270" s="65"/>
      <c r="C270" s="64"/>
      <c r="D270" s="64"/>
      <c r="E270" s="64"/>
      <c r="F270" s="64"/>
      <c r="G270" s="64"/>
      <c r="H270" s="66"/>
      <c r="I270" s="67"/>
      <c r="J270" s="70" t="str">
        <f t="shared" si="4"/>
        <v/>
      </c>
      <c r="K270" s="64"/>
      <c r="L270" s="65"/>
      <c r="M270" s="64"/>
    </row>
    <row r="271" spans="1:13" x14ac:dyDescent="0.25">
      <c r="A271" s="64"/>
      <c r="B271" s="65"/>
      <c r="C271" s="64"/>
      <c r="D271" s="64"/>
      <c r="E271" s="64"/>
      <c r="F271" s="64"/>
      <c r="G271" s="64"/>
      <c r="H271" s="66"/>
      <c r="I271" s="67"/>
      <c r="J271" s="70" t="str">
        <f t="shared" si="4"/>
        <v/>
      </c>
      <c r="K271" s="64"/>
      <c r="L271" s="65"/>
      <c r="M271" s="64"/>
    </row>
    <row r="272" spans="1:13" x14ac:dyDescent="0.25">
      <c r="A272" s="64"/>
      <c r="B272" s="65"/>
      <c r="C272" s="64"/>
      <c r="D272" s="64"/>
      <c r="E272" s="64"/>
      <c r="F272" s="64"/>
      <c r="G272" s="64"/>
      <c r="H272" s="66"/>
      <c r="I272" s="67"/>
      <c r="J272" s="70" t="str">
        <f t="shared" si="4"/>
        <v/>
      </c>
      <c r="K272" s="64"/>
      <c r="L272" s="65"/>
      <c r="M272" s="64"/>
    </row>
    <row r="273" spans="1:13" x14ac:dyDescent="0.25">
      <c r="A273" s="64"/>
      <c r="B273" s="65"/>
      <c r="C273" s="64"/>
      <c r="D273" s="64"/>
      <c r="E273" s="64"/>
      <c r="F273" s="64"/>
      <c r="G273" s="64"/>
      <c r="H273" s="66"/>
      <c r="I273" s="67"/>
      <c r="J273" s="70" t="str">
        <f t="shared" si="4"/>
        <v/>
      </c>
      <c r="K273" s="64"/>
      <c r="L273" s="65"/>
      <c r="M273" s="64"/>
    </row>
    <row r="274" spans="1:13" x14ac:dyDescent="0.25">
      <c r="A274" s="64"/>
      <c r="B274" s="65"/>
      <c r="C274" s="64"/>
      <c r="D274" s="64"/>
      <c r="E274" s="64"/>
      <c r="F274" s="64"/>
      <c r="G274" s="64"/>
      <c r="H274" s="66"/>
      <c r="I274" s="67"/>
      <c r="J274" s="70" t="str">
        <f t="shared" si="4"/>
        <v/>
      </c>
      <c r="K274" s="64"/>
      <c r="L274" s="65"/>
      <c r="M274" s="64"/>
    </row>
    <row r="275" spans="1:13" x14ac:dyDescent="0.25">
      <c r="A275" s="64"/>
      <c r="B275" s="65"/>
      <c r="C275" s="64"/>
      <c r="D275" s="64"/>
      <c r="E275" s="64"/>
      <c r="F275" s="64"/>
      <c r="G275" s="64"/>
      <c r="H275" s="66"/>
      <c r="I275" s="67"/>
      <c r="J275" s="70" t="str">
        <f t="shared" si="4"/>
        <v/>
      </c>
      <c r="K275" s="64"/>
      <c r="L275" s="65"/>
      <c r="M275" s="64"/>
    </row>
    <row r="276" spans="1:13" x14ac:dyDescent="0.25">
      <c r="A276" s="64"/>
      <c r="B276" s="65"/>
      <c r="C276" s="64"/>
      <c r="D276" s="64"/>
      <c r="E276" s="64"/>
      <c r="F276" s="64"/>
      <c r="G276" s="64"/>
      <c r="H276" s="66"/>
      <c r="I276" s="67"/>
      <c r="J276" s="70" t="str">
        <f t="shared" si="4"/>
        <v/>
      </c>
      <c r="K276" s="64"/>
      <c r="L276" s="65"/>
      <c r="M276" s="64"/>
    </row>
    <row r="277" spans="1:13" x14ac:dyDescent="0.25">
      <c r="A277" s="64"/>
      <c r="B277" s="65"/>
      <c r="C277" s="64"/>
      <c r="D277" s="64"/>
      <c r="E277" s="64"/>
      <c r="F277" s="64"/>
      <c r="G277" s="64"/>
      <c r="H277" s="66"/>
      <c r="I277" s="67"/>
      <c r="J277" s="70" t="str">
        <f t="shared" si="4"/>
        <v/>
      </c>
      <c r="K277" s="64"/>
      <c r="L277" s="65"/>
      <c r="M277" s="64"/>
    </row>
    <row r="278" spans="1:13" x14ac:dyDescent="0.25">
      <c r="A278" s="64"/>
      <c r="B278" s="65"/>
      <c r="C278" s="64"/>
      <c r="D278" s="64"/>
      <c r="E278" s="64"/>
      <c r="F278" s="64"/>
      <c r="G278" s="64"/>
      <c r="H278" s="66"/>
      <c r="I278" s="67"/>
      <c r="J278" s="70" t="str">
        <f t="shared" si="4"/>
        <v/>
      </c>
      <c r="K278" s="64"/>
      <c r="L278" s="65"/>
      <c r="M278" s="64"/>
    </row>
    <row r="279" spans="1:13" x14ac:dyDescent="0.25">
      <c r="A279" s="64"/>
      <c r="B279" s="65"/>
      <c r="C279" s="64"/>
      <c r="D279" s="64"/>
      <c r="E279" s="64"/>
      <c r="F279" s="64"/>
      <c r="G279" s="64"/>
      <c r="H279" s="66"/>
      <c r="I279" s="67"/>
      <c r="J279" s="70" t="str">
        <f t="shared" si="4"/>
        <v/>
      </c>
      <c r="K279" s="64"/>
      <c r="L279" s="65"/>
      <c r="M279" s="64"/>
    </row>
    <row r="280" spans="1:13" x14ac:dyDescent="0.25">
      <c r="A280" s="64"/>
      <c r="B280" s="65"/>
      <c r="C280" s="64"/>
      <c r="D280" s="64"/>
      <c r="E280" s="64"/>
      <c r="F280" s="64"/>
      <c r="G280" s="64"/>
      <c r="H280" s="66"/>
      <c r="I280" s="67"/>
      <c r="J280" s="70" t="str">
        <f t="shared" si="4"/>
        <v/>
      </c>
      <c r="K280" s="64"/>
      <c r="L280" s="65"/>
      <c r="M280" s="64"/>
    </row>
    <row r="281" spans="1:13" x14ac:dyDescent="0.25">
      <c r="A281" s="64"/>
      <c r="B281" s="65"/>
      <c r="C281" s="64"/>
      <c r="D281" s="64"/>
      <c r="E281" s="64"/>
      <c r="F281" s="64"/>
      <c r="G281" s="64"/>
      <c r="H281" s="66"/>
      <c r="I281" s="67"/>
      <c r="J281" s="70" t="str">
        <f t="shared" si="4"/>
        <v/>
      </c>
      <c r="K281" s="64"/>
      <c r="L281" s="65"/>
      <c r="M281" s="64"/>
    </row>
    <row r="282" spans="1:13" x14ac:dyDescent="0.25">
      <c r="A282" s="64"/>
      <c r="B282" s="65"/>
      <c r="C282" s="64"/>
      <c r="D282" s="64"/>
      <c r="E282" s="64"/>
      <c r="F282" s="64"/>
      <c r="G282" s="64"/>
      <c r="H282" s="66"/>
      <c r="I282" s="67"/>
      <c r="J282" s="70" t="str">
        <f t="shared" si="4"/>
        <v/>
      </c>
      <c r="K282" s="64"/>
      <c r="L282" s="65"/>
      <c r="M282" s="64"/>
    </row>
    <row r="283" spans="1:13" x14ac:dyDescent="0.25">
      <c r="A283" s="64"/>
      <c r="B283" s="65"/>
      <c r="C283" s="64"/>
      <c r="D283" s="64"/>
      <c r="E283" s="64"/>
      <c r="F283" s="64"/>
      <c r="G283" s="64"/>
      <c r="H283" s="66"/>
      <c r="I283" s="67"/>
      <c r="J283" s="70" t="str">
        <f t="shared" si="4"/>
        <v/>
      </c>
      <c r="K283" s="64"/>
      <c r="L283" s="65"/>
      <c r="M283" s="64"/>
    </row>
    <row r="284" spans="1:13" x14ac:dyDescent="0.25">
      <c r="A284" s="64"/>
      <c r="B284" s="65"/>
      <c r="C284" s="64"/>
      <c r="D284" s="64"/>
      <c r="E284" s="64"/>
      <c r="F284" s="64"/>
      <c r="G284" s="64"/>
      <c r="H284" s="66"/>
      <c r="I284" s="67"/>
      <c r="J284" s="70" t="str">
        <f t="shared" si="4"/>
        <v/>
      </c>
      <c r="K284" s="64"/>
      <c r="L284" s="65"/>
      <c r="M284" s="64"/>
    </row>
    <row r="285" spans="1:13" x14ac:dyDescent="0.25">
      <c r="A285" s="64"/>
      <c r="B285" s="65"/>
      <c r="C285" s="64"/>
      <c r="D285" s="64"/>
      <c r="E285" s="64"/>
      <c r="F285" s="64"/>
      <c r="G285" s="64"/>
      <c r="H285" s="66"/>
      <c r="I285" s="67"/>
      <c r="J285" s="70" t="str">
        <f t="shared" si="4"/>
        <v/>
      </c>
      <c r="K285" s="64"/>
      <c r="L285" s="65"/>
      <c r="M285" s="64"/>
    </row>
    <row r="286" spans="1:13" x14ac:dyDescent="0.25">
      <c r="A286" s="64"/>
      <c r="B286" s="65"/>
      <c r="C286" s="64"/>
      <c r="D286" s="64"/>
      <c r="E286" s="64"/>
      <c r="F286" s="64"/>
      <c r="G286" s="64"/>
      <c r="H286" s="66"/>
      <c r="I286" s="67"/>
      <c r="J286" s="70" t="str">
        <f t="shared" si="4"/>
        <v/>
      </c>
      <c r="K286" s="64"/>
      <c r="L286" s="65"/>
      <c r="M286" s="64"/>
    </row>
    <row r="287" spans="1:13" x14ac:dyDescent="0.25">
      <c r="A287" s="64"/>
      <c r="B287" s="65"/>
      <c r="C287" s="64"/>
      <c r="D287" s="64"/>
      <c r="E287" s="64"/>
      <c r="F287" s="64"/>
      <c r="G287" s="64"/>
      <c r="H287" s="66"/>
      <c r="I287" s="67"/>
      <c r="J287" s="70" t="str">
        <f t="shared" si="4"/>
        <v/>
      </c>
      <c r="K287" s="64"/>
      <c r="L287" s="65"/>
      <c r="M287" s="64"/>
    </row>
    <row r="288" spans="1:13" x14ac:dyDescent="0.25">
      <c r="A288" s="64"/>
      <c r="B288" s="65"/>
      <c r="C288" s="64"/>
      <c r="D288" s="64"/>
      <c r="E288" s="64"/>
      <c r="F288" s="64"/>
      <c r="G288" s="64"/>
      <c r="H288" s="66"/>
      <c r="I288" s="67"/>
      <c r="J288" s="70" t="str">
        <f t="shared" si="4"/>
        <v/>
      </c>
      <c r="K288" s="64"/>
      <c r="L288" s="65"/>
      <c r="M288" s="64"/>
    </row>
    <row r="289" spans="1:13" x14ac:dyDescent="0.25">
      <c r="A289" s="64"/>
      <c r="B289" s="65"/>
      <c r="C289" s="64"/>
      <c r="D289" s="64"/>
      <c r="E289" s="64"/>
      <c r="F289" s="64"/>
      <c r="G289" s="64"/>
      <c r="H289" s="66"/>
      <c r="I289" s="67"/>
      <c r="J289" s="70" t="str">
        <f t="shared" si="4"/>
        <v/>
      </c>
      <c r="K289" s="64"/>
      <c r="L289" s="65"/>
      <c r="M289" s="64"/>
    </row>
    <row r="290" spans="1:13" x14ac:dyDescent="0.25">
      <c r="A290" s="64"/>
      <c r="B290" s="65"/>
      <c r="C290" s="64"/>
      <c r="D290" s="64"/>
      <c r="E290" s="64"/>
      <c r="F290" s="64"/>
      <c r="G290" s="64"/>
      <c r="H290" s="66"/>
      <c r="I290" s="67"/>
      <c r="J290" s="70" t="str">
        <f t="shared" si="4"/>
        <v/>
      </c>
      <c r="K290" s="64"/>
      <c r="L290" s="65"/>
      <c r="M290" s="64"/>
    </row>
    <row r="291" spans="1:13" x14ac:dyDescent="0.25">
      <c r="A291" s="64"/>
      <c r="B291" s="65"/>
      <c r="C291" s="64"/>
      <c r="D291" s="64"/>
      <c r="E291" s="64"/>
      <c r="F291" s="64"/>
      <c r="G291" s="64"/>
      <c r="H291" s="66"/>
      <c r="I291" s="67"/>
      <c r="J291" s="70" t="str">
        <f t="shared" si="4"/>
        <v/>
      </c>
      <c r="K291" s="64"/>
      <c r="L291" s="65"/>
      <c r="M291" s="64"/>
    </row>
    <row r="292" spans="1:13" x14ac:dyDescent="0.25">
      <c r="A292" s="64"/>
      <c r="B292" s="65"/>
      <c r="C292" s="64"/>
      <c r="D292" s="64"/>
      <c r="E292" s="64"/>
      <c r="F292" s="64"/>
      <c r="G292" s="64"/>
      <c r="H292" s="66"/>
      <c r="I292" s="67"/>
      <c r="J292" s="70" t="str">
        <f t="shared" si="4"/>
        <v/>
      </c>
      <c r="K292" s="64"/>
      <c r="L292" s="65"/>
      <c r="M292" s="64"/>
    </row>
    <row r="293" spans="1:13" x14ac:dyDescent="0.25">
      <c r="A293" s="64"/>
      <c r="B293" s="65"/>
      <c r="C293" s="64"/>
      <c r="D293" s="64"/>
      <c r="E293" s="64"/>
      <c r="F293" s="64"/>
      <c r="G293" s="64"/>
      <c r="H293" s="66"/>
      <c r="I293" s="67"/>
      <c r="J293" s="70" t="str">
        <f t="shared" si="4"/>
        <v/>
      </c>
      <c r="K293" s="64"/>
      <c r="L293" s="65"/>
      <c r="M293" s="64"/>
    </row>
    <row r="294" spans="1:13" x14ac:dyDescent="0.25">
      <c r="A294" s="64"/>
      <c r="B294" s="65"/>
      <c r="C294" s="64"/>
      <c r="D294" s="64"/>
      <c r="E294" s="64"/>
      <c r="F294" s="64"/>
      <c r="G294" s="64"/>
      <c r="H294" s="66"/>
      <c r="I294" s="67"/>
      <c r="J294" s="70" t="str">
        <f t="shared" si="4"/>
        <v/>
      </c>
      <c r="K294" s="64"/>
      <c r="L294" s="65"/>
      <c r="M294" s="64"/>
    </row>
    <row r="295" spans="1:13" x14ac:dyDescent="0.25">
      <c r="A295" s="64"/>
      <c r="B295" s="65"/>
      <c r="C295" s="64"/>
      <c r="D295" s="64"/>
      <c r="E295" s="64"/>
      <c r="F295" s="64"/>
      <c r="G295" s="64"/>
      <c r="H295" s="66"/>
      <c r="I295" s="67"/>
      <c r="J295" s="70" t="str">
        <f t="shared" si="4"/>
        <v/>
      </c>
      <c r="K295" s="64"/>
      <c r="L295" s="65"/>
      <c r="M295" s="64"/>
    </row>
    <row r="296" spans="1:13" x14ac:dyDescent="0.25">
      <c r="A296" s="64"/>
      <c r="B296" s="65"/>
      <c r="C296" s="64"/>
      <c r="D296" s="64"/>
      <c r="E296" s="64"/>
      <c r="F296" s="64"/>
      <c r="G296" s="64"/>
      <c r="H296" s="66"/>
      <c r="I296" s="67"/>
      <c r="J296" s="70" t="str">
        <f t="shared" si="4"/>
        <v/>
      </c>
      <c r="K296" s="64"/>
      <c r="L296" s="65"/>
      <c r="M296" s="64"/>
    </row>
    <row r="297" spans="1:13" x14ac:dyDescent="0.25">
      <c r="A297" s="64"/>
      <c r="B297" s="65"/>
      <c r="C297" s="64"/>
      <c r="D297" s="64"/>
      <c r="E297" s="64"/>
      <c r="F297" s="64"/>
      <c r="G297" s="64"/>
      <c r="H297" s="66"/>
      <c r="I297" s="67"/>
      <c r="J297" s="70" t="str">
        <f t="shared" si="4"/>
        <v/>
      </c>
      <c r="K297" s="64"/>
      <c r="L297" s="65"/>
      <c r="M297" s="64"/>
    </row>
    <row r="298" spans="1:13" x14ac:dyDescent="0.25">
      <c r="A298" s="64"/>
      <c r="B298" s="65"/>
      <c r="C298" s="64"/>
      <c r="D298" s="64"/>
      <c r="E298" s="64"/>
      <c r="F298" s="64"/>
      <c r="G298" s="64"/>
      <c r="H298" s="66"/>
      <c r="I298" s="67"/>
      <c r="J298" s="70" t="str">
        <f t="shared" si="4"/>
        <v/>
      </c>
      <c r="K298" s="64"/>
      <c r="L298" s="65"/>
      <c r="M298" s="64"/>
    </row>
    <row r="299" spans="1:13" x14ac:dyDescent="0.25">
      <c r="A299" s="64"/>
      <c r="B299" s="65"/>
      <c r="C299" s="64"/>
      <c r="D299" s="64"/>
      <c r="E299" s="64"/>
      <c r="F299" s="64"/>
      <c r="G299" s="64"/>
      <c r="H299" s="66"/>
      <c r="I299" s="67"/>
      <c r="J299" s="70" t="str">
        <f t="shared" si="4"/>
        <v/>
      </c>
      <c r="K299" s="64"/>
      <c r="L299" s="65"/>
      <c r="M299" s="64"/>
    </row>
    <row r="300" spans="1:13" x14ac:dyDescent="0.25">
      <c r="A300" s="64"/>
      <c r="B300" s="65"/>
      <c r="C300" s="64"/>
      <c r="D300" s="64"/>
      <c r="E300" s="64"/>
      <c r="F300" s="64"/>
      <c r="G300" s="64"/>
      <c r="H300" s="66"/>
      <c r="I300" s="67"/>
      <c r="J300" s="70" t="str">
        <f t="shared" si="4"/>
        <v/>
      </c>
      <c r="K300" s="64"/>
      <c r="L300" s="65"/>
      <c r="M300" s="64"/>
    </row>
    <row r="301" spans="1:13" x14ac:dyDescent="0.25">
      <c r="A301" s="64"/>
      <c r="B301" s="65"/>
      <c r="C301" s="64"/>
      <c r="D301" s="64"/>
      <c r="E301" s="64"/>
      <c r="F301" s="64"/>
      <c r="G301" s="64"/>
      <c r="H301" s="66"/>
      <c r="I301" s="67"/>
      <c r="J301" s="70" t="str">
        <f t="shared" si="4"/>
        <v/>
      </c>
      <c r="K301" s="64"/>
      <c r="L301" s="65"/>
      <c r="M301" s="64"/>
    </row>
    <row r="302" spans="1:13" x14ac:dyDescent="0.25">
      <c r="A302" s="64"/>
      <c r="B302" s="65"/>
      <c r="C302" s="64"/>
      <c r="D302" s="64"/>
      <c r="E302" s="64"/>
      <c r="F302" s="64"/>
      <c r="G302" s="64"/>
      <c r="H302" s="66"/>
      <c r="I302" s="67"/>
      <c r="J302" s="70" t="str">
        <f t="shared" si="4"/>
        <v/>
      </c>
      <c r="K302" s="64"/>
      <c r="L302" s="65"/>
      <c r="M302" s="64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conditionalFormatting sqref="K3:K302">
    <cfRule type="cellIs" dxfId="83" priority="2" operator="equal">
      <formula>"Won"</formula>
    </cfRule>
    <cfRule type="cellIs" dxfId="82" priority="3" operator="equal">
      <formula>"Lost"</formula>
    </cfRule>
    <cfRule type="cellIs" dxfId="81" priority="4" operator="equal">
      <formula>"Quoted"</formula>
    </cfRule>
    <cfRule type="cellIs" dxfId="80" priority="5" operator="equal">
      <formula>"On_hold"</formula>
    </cfRule>
  </conditionalFormatting>
  <conditionalFormatting sqref="L3:L302">
    <cfRule type="expression" dxfId="79" priority="6">
      <formula>AND(L3&lt;&gt;"",L3&lt;TODAY(),$K3&lt;&gt;"Won",$K3&lt;&gt;"Lost")</formula>
    </cfRule>
  </conditionalFormatting>
  <dataValidations count="3">
    <dataValidation type="list" allowBlank="1" sqref="F3:F302" xr:uid="{00000000-0002-0000-0200-000000000000}">
      <formula1>"Referral,Google,Facebook,Instagram,Walk_in,Website,Phone,Repeat_customer,Trade_show,Other"</formula1>
      <formula2>0</formula2>
    </dataValidation>
    <dataValidation type="list" allowBlank="1" sqref="G3:G302" xr:uid="{00000000-0002-0000-0200-000001000000}">
      <formula1>List_Categories</formula1>
      <formula2>0</formula2>
    </dataValidation>
    <dataValidation type="list" allowBlank="1" sqref="K3:K302" xr:uid="{00000000-0002-0000-0200-000002000000}">
      <formula1>"New,Contacted,Site_visit,Quoted,Won,Lost,On_hold"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262626"/>
  </sheetPr>
  <dimension ref="A1:I1002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2" width="18" customWidth="1"/>
    <col min="3" max="4" width="16" customWidth="1"/>
    <col min="5" max="5" width="18" customWidth="1"/>
    <col min="6" max="8" width="22" customWidth="1"/>
    <col min="9" max="9" width="24" customWidth="1"/>
  </cols>
  <sheetData>
    <row r="1" spans="1:9" ht="17.25" customHeight="1" x14ac:dyDescent="0.25">
      <c r="A1" s="60" t="s">
        <v>1726</v>
      </c>
      <c r="B1" s="61"/>
      <c r="C1" s="61"/>
      <c r="D1" s="61"/>
      <c r="E1" s="61"/>
      <c r="F1" s="133" t="s">
        <v>1727</v>
      </c>
      <c r="G1" s="61"/>
      <c r="H1" s="61"/>
      <c r="I1" s="61"/>
    </row>
    <row r="2" spans="1:9" ht="27.75" customHeight="1" x14ac:dyDescent="0.25">
      <c r="A2" s="63" t="s">
        <v>1728</v>
      </c>
      <c r="B2" s="63" t="s">
        <v>1729</v>
      </c>
      <c r="C2" s="63" t="s">
        <v>1730</v>
      </c>
      <c r="D2" s="63" t="s">
        <v>1731</v>
      </c>
      <c r="E2" s="63" t="s">
        <v>1732</v>
      </c>
      <c r="F2" s="63" t="s">
        <v>1733</v>
      </c>
      <c r="G2" s="63" t="s">
        <v>1734</v>
      </c>
      <c r="H2" s="63" t="s">
        <v>1537</v>
      </c>
      <c r="I2" s="63" t="s">
        <v>226</v>
      </c>
    </row>
    <row r="3" spans="1:9" ht="15" customHeight="1" x14ac:dyDescent="0.25">
      <c r="A3" s="193">
        <v>46122.395833333299</v>
      </c>
      <c r="B3" s="61" t="s">
        <v>1735</v>
      </c>
      <c r="C3" s="61" t="s">
        <v>1736</v>
      </c>
      <c r="D3" s="61" t="s">
        <v>566</v>
      </c>
      <c r="E3" s="61" t="s">
        <v>1296</v>
      </c>
      <c r="F3" s="61" t="s">
        <v>1737</v>
      </c>
      <c r="G3" s="61" t="s">
        <v>1738</v>
      </c>
      <c r="H3" s="61" t="s">
        <v>1561</v>
      </c>
      <c r="I3" s="61" t="s">
        <v>1739</v>
      </c>
    </row>
    <row r="4" spans="1:9" ht="15" customHeight="1" x14ac:dyDescent="0.25">
      <c r="A4" s="194">
        <v>46127.597222222197</v>
      </c>
      <c r="B4" s="195" t="s">
        <v>1735</v>
      </c>
      <c r="C4" s="195" t="s">
        <v>1740</v>
      </c>
      <c r="D4" s="195" t="s">
        <v>1741</v>
      </c>
      <c r="E4" s="195" t="s">
        <v>23</v>
      </c>
      <c r="F4" s="195" t="s">
        <v>1742</v>
      </c>
      <c r="G4" s="195" t="s">
        <v>477</v>
      </c>
      <c r="H4" s="195" t="s">
        <v>1743</v>
      </c>
      <c r="I4" s="195" t="s">
        <v>1744</v>
      </c>
    </row>
    <row r="5" spans="1:9" ht="15" customHeight="1" x14ac:dyDescent="0.25">
      <c r="A5" s="193">
        <v>46130.458333333299</v>
      </c>
      <c r="B5" s="61" t="s">
        <v>468</v>
      </c>
      <c r="C5" s="61" t="s">
        <v>1745</v>
      </c>
      <c r="D5" s="61" t="s">
        <v>1746</v>
      </c>
      <c r="E5" s="61" t="s">
        <v>1747</v>
      </c>
      <c r="F5" s="61" t="s">
        <v>1748</v>
      </c>
      <c r="G5" s="61" t="s">
        <v>1749</v>
      </c>
      <c r="H5" s="61" t="s">
        <v>878</v>
      </c>
      <c r="I5" s="61" t="s">
        <v>1750</v>
      </c>
    </row>
    <row r="6" spans="1:9" ht="15" customHeight="1" x14ac:dyDescent="0.25">
      <c r="A6" s="194">
        <v>46132.697916666701</v>
      </c>
      <c r="B6" s="195" t="s">
        <v>1735</v>
      </c>
      <c r="C6" s="195" t="s">
        <v>466</v>
      </c>
      <c r="D6" s="195" t="s">
        <v>1751</v>
      </c>
      <c r="E6" s="195" t="s">
        <v>1752</v>
      </c>
      <c r="F6" s="195" t="s">
        <v>1753</v>
      </c>
      <c r="G6" s="195" t="s">
        <v>1754</v>
      </c>
      <c r="H6" s="195" t="s">
        <v>1755</v>
      </c>
      <c r="I6" s="195" t="s">
        <v>1756</v>
      </c>
    </row>
    <row r="7" spans="1:9" ht="15" customHeight="1" x14ac:dyDescent="0.25">
      <c r="A7" s="193"/>
      <c r="B7" s="61"/>
      <c r="C7" s="61"/>
      <c r="D7" s="61"/>
      <c r="E7" s="61"/>
      <c r="F7" s="61"/>
      <c r="G7" s="61"/>
      <c r="H7" s="61"/>
      <c r="I7" s="61"/>
    </row>
    <row r="8" spans="1:9" ht="15" customHeight="1" x14ac:dyDescent="0.25">
      <c r="A8" s="194"/>
      <c r="B8" s="195"/>
      <c r="C8" s="195"/>
      <c r="D8" s="195"/>
      <c r="E8" s="195"/>
      <c r="F8" s="195"/>
      <c r="G8" s="195"/>
      <c r="H8" s="195"/>
      <c r="I8" s="195"/>
    </row>
    <row r="9" spans="1:9" ht="15" customHeight="1" x14ac:dyDescent="0.25">
      <c r="A9" s="193"/>
      <c r="B9" s="61"/>
      <c r="C9" s="61"/>
      <c r="D9" s="61"/>
      <c r="E9" s="61"/>
      <c r="F9" s="61"/>
      <c r="G9" s="61"/>
      <c r="H9" s="61"/>
      <c r="I9" s="61"/>
    </row>
    <row r="10" spans="1:9" ht="15" customHeight="1" x14ac:dyDescent="0.25">
      <c r="A10" s="194"/>
      <c r="B10" s="195"/>
      <c r="C10" s="195"/>
      <c r="D10" s="195"/>
      <c r="E10" s="195"/>
      <c r="F10" s="195"/>
      <c r="G10" s="195"/>
      <c r="H10" s="195"/>
      <c r="I10" s="195"/>
    </row>
    <row r="11" spans="1:9" ht="15" customHeight="1" x14ac:dyDescent="0.25">
      <c r="A11" s="193"/>
      <c r="B11" s="61"/>
      <c r="C11" s="61"/>
      <c r="D11" s="61"/>
      <c r="E11" s="61"/>
      <c r="F11" s="61"/>
      <c r="G11" s="61"/>
      <c r="H11" s="61"/>
      <c r="I11" s="61"/>
    </row>
    <row r="12" spans="1:9" ht="15" customHeight="1" x14ac:dyDescent="0.25">
      <c r="A12" s="194"/>
      <c r="B12" s="195"/>
      <c r="C12" s="195"/>
      <c r="D12" s="195"/>
      <c r="E12" s="195"/>
      <c r="F12" s="195"/>
      <c r="G12" s="195"/>
      <c r="H12" s="195"/>
      <c r="I12" s="195"/>
    </row>
    <row r="13" spans="1:9" ht="15" customHeight="1" x14ac:dyDescent="0.25">
      <c r="A13" s="193"/>
      <c r="B13" s="61"/>
      <c r="C13" s="61"/>
      <c r="D13" s="61"/>
      <c r="E13" s="61"/>
      <c r="F13" s="61"/>
      <c r="G13" s="61"/>
      <c r="H13" s="61"/>
      <c r="I13" s="61"/>
    </row>
    <row r="14" spans="1:9" ht="15" customHeight="1" x14ac:dyDescent="0.25">
      <c r="A14" s="194"/>
      <c r="B14" s="195"/>
      <c r="C14" s="195"/>
      <c r="D14" s="195"/>
      <c r="E14" s="195"/>
      <c r="F14" s="195"/>
      <c r="G14" s="195"/>
      <c r="H14" s="195"/>
      <c r="I14" s="195"/>
    </row>
    <row r="15" spans="1:9" ht="15" customHeight="1" x14ac:dyDescent="0.25">
      <c r="A15" s="193"/>
      <c r="B15" s="61"/>
      <c r="C15" s="61"/>
      <c r="D15" s="61"/>
      <c r="E15" s="61"/>
      <c r="F15" s="61"/>
      <c r="G15" s="61"/>
      <c r="H15" s="61"/>
      <c r="I15" s="61"/>
    </row>
    <row r="16" spans="1:9" ht="15" customHeight="1" x14ac:dyDescent="0.25">
      <c r="A16" s="194"/>
      <c r="B16" s="195"/>
      <c r="C16" s="195"/>
      <c r="D16" s="195"/>
      <c r="E16" s="195"/>
      <c r="F16" s="195"/>
      <c r="G16" s="195"/>
      <c r="H16" s="195"/>
      <c r="I16" s="195"/>
    </row>
    <row r="17" spans="1:9" ht="15" customHeight="1" x14ac:dyDescent="0.25">
      <c r="A17" s="193"/>
      <c r="B17" s="61"/>
      <c r="C17" s="61"/>
      <c r="D17" s="61"/>
      <c r="E17" s="61"/>
      <c r="F17" s="61"/>
      <c r="G17" s="61"/>
      <c r="H17" s="61"/>
      <c r="I17" s="61"/>
    </row>
    <row r="18" spans="1:9" ht="15" customHeight="1" x14ac:dyDescent="0.25">
      <c r="A18" s="194"/>
      <c r="B18" s="195"/>
      <c r="C18" s="195"/>
      <c r="D18" s="195"/>
      <c r="E18" s="195"/>
      <c r="F18" s="195"/>
      <c r="G18" s="195"/>
      <c r="H18" s="195"/>
      <c r="I18" s="195"/>
    </row>
    <row r="19" spans="1:9" ht="15" customHeight="1" x14ac:dyDescent="0.25">
      <c r="A19" s="193"/>
      <c r="B19" s="61"/>
      <c r="C19" s="61"/>
      <c r="D19" s="61"/>
      <c r="E19" s="61"/>
      <c r="F19" s="61"/>
      <c r="G19" s="61"/>
      <c r="H19" s="61"/>
      <c r="I19" s="61"/>
    </row>
    <row r="20" spans="1:9" ht="15" customHeight="1" x14ac:dyDescent="0.25">
      <c r="A20" s="194"/>
      <c r="B20" s="195"/>
      <c r="C20" s="195"/>
      <c r="D20" s="195"/>
      <c r="E20" s="195"/>
      <c r="F20" s="195"/>
      <c r="G20" s="195"/>
      <c r="H20" s="195"/>
      <c r="I20" s="195"/>
    </row>
    <row r="21" spans="1:9" ht="15" customHeight="1" x14ac:dyDescent="0.25">
      <c r="A21" s="193"/>
      <c r="B21" s="61"/>
      <c r="C21" s="61"/>
      <c r="D21" s="61"/>
      <c r="E21" s="61"/>
      <c r="F21" s="61"/>
      <c r="G21" s="61"/>
      <c r="H21" s="61"/>
      <c r="I21" s="61"/>
    </row>
    <row r="22" spans="1:9" ht="15" customHeight="1" x14ac:dyDescent="0.25">
      <c r="A22" s="194"/>
      <c r="B22" s="195"/>
      <c r="C22" s="195"/>
      <c r="D22" s="195"/>
      <c r="E22" s="195"/>
      <c r="F22" s="195"/>
      <c r="G22" s="195"/>
      <c r="H22" s="195"/>
      <c r="I22" s="195"/>
    </row>
    <row r="23" spans="1:9" ht="15" customHeight="1" x14ac:dyDescent="0.25">
      <c r="A23" s="193"/>
      <c r="B23" s="61"/>
      <c r="C23" s="61"/>
      <c r="D23" s="61"/>
      <c r="E23" s="61"/>
      <c r="F23" s="61"/>
      <c r="G23" s="61"/>
      <c r="H23" s="61"/>
      <c r="I23" s="61"/>
    </row>
    <row r="24" spans="1:9" ht="15" customHeight="1" x14ac:dyDescent="0.25">
      <c r="A24" s="194"/>
      <c r="B24" s="195"/>
      <c r="C24" s="195"/>
      <c r="D24" s="195"/>
      <c r="E24" s="195"/>
      <c r="F24" s="195"/>
      <c r="G24" s="195"/>
      <c r="H24" s="195"/>
      <c r="I24" s="195"/>
    </row>
    <row r="25" spans="1:9" ht="15" customHeight="1" x14ac:dyDescent="0.25">
      <c r="A25" s="193"/>
      <c r="B25" s="61"/>
      <c r="C25" s="61"/>
      <c r="D25" s="61"/>
      <c r="E25" s="61"/>
      <c r="F25" s="61"/>
      <c r="G25" s="61"/>
      <c r="H25" s="61"/>
      <c r="I25" s="61"/>
    </row>
    <row r="26" spans="1:9" ht="15" customHeight="1" x14ac:dyDescent="0.25">
      <c r="A26" s="194"/>
      <c r="B26" s="195"/>
      <c r="C26" s="195"/>
      <c r="D26" s="195"/>
      <c r="E26" s="195"/>
      <c r="F26" s="195"/>
      <c r="G26" s="195"/>
      <c r="H26" s="195"/>
      <c r="I26" s="195"/>
    </row>
    <row r="27" spans="1:9" ht="15" customHeight="1" x14ac:dyDescent="0.25">
      <c r="A27" s="193"/>
      <c r="B27" s="61"/>
      <c r="C27" s="61"/>
      <c r="D27" s="61"/>
      <c r="E27" s="61"/>
      <c r="F27" s="61"/>
      <c r="G27" s="61"/>
      <c r="H27" s="61"/>
      <c r="I27" s="61"/>
    </row>
    <row r="28" spans="1:9" ht="15" customHeight="1" x14ac:dyDescent="0.25">
      <c r="A28" s="194"/>
      <c r="B28" s="195"/>
      <c r="C28" s="195"/>
      <c r="D28" s="195"/>
      <c r="E28" s="195"/>
      <c r="F28" s="195"/>
      <c r="G28" s="195"/>
      <c r="H28" s="195"/>
      <c r="I28" s="195"/>
    </row>
    <row r="29" spans="1:9" ht="15" customHeight="1" x14ac:dyDescent="0.25">
      <c r="A29" s="193"/>
      <c r="B29" s="61"/>
      <c r="C29" s="61"/>
      <c r="D29" s="61"/>
      <c r="E29" s="61"/>
      <c r="F29" s="61"/>
      <c r="G29" s="61"/>
      <c r="H29" s="61"/>
      <c r="I29" s="61"/>
    </row>
    <row r="30" spans="1:9" ht="15" customHeight="1" x14ac:dyDescent="0.25">
      <c r="A30" s="194"/>
      <c r="B30" s="195"/>
      <c r="C30" s="195"/>
      <c r="D30" s="195"/>
      <c r="E30" s="195"/>
      <c r="F30" s="195"/>
      <c r="G30" s="195"/>
      <c r="H30" s="195"/>
      <c r="I30" s="195"/>
    </row>
    <row r="31" spans="1:9" ht="15" customHeight="1" x14ac:dyDescent="0.25">
      <c r="A31" s="193"/>
      <c r="B31" s="61"/>
      <c r="C31" s="61"/>
      <c r="D31" s="61"/>
      <c r="E31" s="61"/>
      <c r="F31" s="61"/>
      <c r="G31" s="61"/>
      <c r="H31" s="61"/>
      <c r="I31" s="61"/>
    </row>
    <row r="32" spans="1:9" ht="15" customHeight="1" x14ac:dyDescent="0.25">
      <c r="A32" s="194"/>
      <c r="B32" s="195"/>
      <c r="C32" s="195"/>
      <c r="D32" s="195"/>
      <c r="E32" s="195"/>
      <c r="F32" s="195"/>
      <c r="G32" s="195"/>
      <c r="H32" s="195"/>
      <c r="I32" s="195"/>
    </row>
    <row r="33" spans="1:9" ht="15" customHeight="1" x14ac:dyDescent="0.25">
      <c r="A33" s="193"/>
      <c r="B33" s="61"/>
      <c r="C33" s="61"/>
      <c r="D33" s="61"/>
      <c r="E33" s="61"/>
      <c r="F33" s="61"/>
      <c r="G33" s="61"/>
      <c r="H33" s="61"/>
      <c r="I33" s="61"/>
    </row>
    <row r="34" spans="1:9" ht="15" customHeight="1" x14ac:dyDescent="0.25">
      <c r="A34" s="194"/>
      <c r="B34" s="195"/>
      <c r="C34" s="195"/>
      <c r="D34" s="195"/>
      <c r="E34" s="195"/>
      <c r="F34" s="195"/>
      <c r="G34" s="195"/>
      <c r="H34" s="195"/>
      <c r="I34" s="195"/>
    </row>
    <row r="35" spans="1:9" ht="15" customHeight="1" x14ac:dyDescent="0.25">
      <c r="A35" s="193"/>
      <c r="B35" s="61"/>
      <c r="C35" s="61"/>
      <c r="D35" s="61"/>
      <c r="E35" s="61"/>
      <c r="F35" s="61"/>
      <c r="G35" s="61"/>
      <c r="H35" s="61"/>
      <c r="I35" s="61"/>
    </row>
    <row r="36" spans="1:9" ht="15" customHeight="1" x14ac:dyDescent="0.25">
      <c r="A36" s="194"/>
      <c r="B36" s="195"/>
      <c r="C36" s="195"/>
      <c r="D36" s="195"/>
      <c r="E36" s="195"/>
      <c r="F36" s="195"/>
      <c r="G36" s="195"/>
      <c r="H36" s="195"/>
      <c r="I36" s="195"/>
    </row>
    <row r="37" spans="1:9" ht="15" customHeight="1" x14ac:dyDescent="0.25">
      <c r="A37" s="193"/>
      <c r="B37" s="61"/>
      <c r="C37" s="61"/>
      <c r="D37" s="61"/>
      <c r="E37" s="61"/>
      <c r="F37" s="61"/>
      <c r="G37" s="61"/>
      <c r="H37" s="61"/>
      <c r="I37" s="61"/>
    </row>
    <row r="38" spans="1:9" ht="15" customHeight="1" x14ac:dyDescent="0.25">
      <c r="A38" s="194"/>
      <c r="B38" s="195"/>
      <c r="C38" s="195"/>
      <c r="D38" s="195"/>
      <c r="E38" s="195"/>
      <c r="F38" s="195"/>
      <c r="G38" s="195"/>
      <c r="H38" s="195"/>
      <c r="I38" s="195"/>
    </row>
    <row r="39" spans="1:9" ht="15" customHeight="1" x14ac:dyDescent="0.25">
      <c r="A39" s="193"/>
      <c r="B39" s="61"/>
      <c r="C39" s="61"/>
      <c r="D39" s="61"/>
      <c r="E39" s="61"/>
      <c r="F39" s="61"/>
      <c r="G39" s="61"/>
      <c r="H39" s="61"/>
      <c r="I39" s="61"/>
    </row>
    <row r="40" spans="1:9" ht="15" customHeight="1" x14ac:dyDescent="0.25">
      <c r="A40" s="194"/>
      <c r="B40" s="195"/>
      <c r="C40" s="195"/>
      <c r="D40" s="195"/>
      <c r="E40" s="195"/>
      <c r="F40" s="195"/>
      <c r="G40" s="195"/>
      <c r="H40" s="195"/>
      <c r="I40" s="195"/>
    </row>
    <row r="41" spans="1:9" ht="15" customHeight="1" x14ac:dyDescent="0.25">
      <c r="A41" s="193"/>
      <c r="B41" s="61"/>
      <c r="C41" s="61"/>
      <c r="D41" s="61"/>
      <c r="E41" s="61"/>
      <c r="F41" s="61"/>
      <c r="G41" s="61"/>
      <c r="H41" s="61"/>
      <c r="I41" s="61"/>
    </row>
    <row r="42" spans="1:9" ht="15" customHeight="1" x14ac:dyDescent="0.25">
      <c r="A42" s="194"/>
      <c r="B42" s="195"/>
      <c r="C42" s="195"/>
      <c r="D42" s="195"/>
      <c r="E42" s="195"/>
      <c r="F42" s="195"/>
      <c r="G42" s="195"/>
      <c r="H42" s="195"/>
      <c r="I42" s="195"/>
    </row>
    <row r="43" spans="1:9" ht="15" customHeight="1" x14ac:dyDescent="0.25">
      <c r="A43" s="193"/>
      <c r="B43" s="61"/>
      <c r="C43" s="61"/>
      <c r="D43" s="61"/>
      <c r="E43" s="61"/>
      <c r="F43" s="61"/>
      <c r="G43" s="61"/>
      <c r="H43" s="61"/>
      <c r="I43" s="61"/>
    </row>
    <row r="44" spans="1:9" ht="15" customHeight="1" x14ac:dyDescent="0.25">
      <c r="A44" s="194"/>
      <c r="B44" s="195"/>
      <c r="C44" s="195"/>
      <c r="D44" s="195"/>
      <c r="E44" s="195"/>
      <c r="F44" s="195"/>
      <c r="G44" s="195"/>
      <c r="H44" s="195"/>
      <c r="I44" s="195"/>
    </row>
    <row r="45" spans="1:9" ht="15" customHeight="1" x14ac:dyDescent="0.25">
      <c r="A45" s="193"/>
      <c r="B45" s="61"/>
      <c r="C45" s="61"/>
      <c r="D45" s="61"/>
      <c r="E45" s="61"/>
      <c r="F45" s="61"/>
      <c r="G45" s="61"/>
      <c r="H45" s="61"/>
      <c r="I45" s="61"/>
    </row>
    <row r="46" spans="1:9" ht="15" customHeight="1" x14ac:dyDescent="0.25">
      <c r="A46" s="194"/>
      <c r="B46" s="195"/>
      <c r="C46" s="195"/>
      <c r="D46" s="195"/>
      <c r="E46" s="195"/>
      <c r="F46" s="195"/>
      <c r="G46" s="195"/>
      <c r="H46" s="195"/>
      <c r="I46" s="195"/>
    </row>
    <row r="47" spans="1:9" ht="15" customHeight="1" x14ac:dyDescent="0.25">
      <c r="A47" s="193"/>
      <c r="B47" s="61"/>
      <c r="C47" s="61"/>
      <c r="D47" s="61"/>
      <c r="E47" s="61"/>
      <c r="F47" s="61"/>
      <c r="G47" s="61"/>
      <c r="H47" s="61"/>
      <c r="I47" s="61"/>
    </row>
    <row r="48" spans="1:9" ht="15" customHeight="1" x14ac:dyDescent="0.25">
      <c r="A48" s="194"/>
      <c r="B48" s="195"/>
      <c r="C48" s="195"/>
      <c r="D48" s="195"/>
      <c r="E48" s="195"/>
      <c r="F48" s="195"/>
      <c r="G48" s="195"/>
      <c r="H48" s="195"/>
      <c r="I48" s="195"/>
    </row>
    <row r="49" spans="1:9" ht="15" customHeight="1" x14ac:dyDescent="0.25">
      <c r="A49" s="193"/>
      <c r="B49" s="61"/>
      <c r="C49" s="61"/>
      <c r="D49" s="61"/>
      <c r="E49" s="61"/>
      <c r="F49" s="61"/>
      <c r="G49" s="61"/>
      <c r="H49" s="61"/>
      <c r="I49" s="61"/>
    </row>
    <row r="50" spans="1:9" ht="15" customHeight="1" x14ac:dyDescent="0.25">
      <c r="A50" s="194"/>
      <c r="B50" s="195"/>
      <c r="C50" s="195"/>
      <c r="D50" s="195"/>
      <c r="E50" s="195"/>
      <c r="F50" s="195"/>
      <c r="G50" s="195"/>
      <c r="H50" s="195"/>
      <c r="I50" s="195"/>
    </row>
    <row r="51" spans="1:9" ht="15" customHeight="1" x14ac:dyDescent="0.25">
      <c r="A51" s="193"/>
      <c r="B51" s="61"/>
      <c r="C51" s="61"/>
      <c r="D51" s="61"/>
      <c r="E51" s="61"/>
      <c r="F51" s="61"/>
      <c r="G51" s="61"/>
      <c r="H51" s="61"/>
      <c r="I51" s="61"/>
    </row>
    <row r="52" spans="1:9" ht="15" customHeight="1" x14ac:dyDescent="0.25">
      <c r="A52" s="194"/>
      <c r="B52" s="195"/>
      <c r="C52" s="195"/>
      <c r="D52" s="195"/>
      <c r="E52" s="195"/>
      <c r="F52" s="195"/>
      <c r="G52" s="195"/>
      <c r="H52" s="195"/>
      <c r="I52" s="195"/>
    </row>
    <row r="53" spans="1:9" ht="15" customHeight="1" x14ac:dyDescent="0.25">
      <c r="A53" s="193"/>
      <c r="B53" s="61"/>
      <c r="C53" s="61"/>
      <c r="D53" s="61"/>
      <c r="E53" s="61"/>
      <c r="F53" s="61"/>
      <c r="G53" s="61"/>
      <c r="H53" s="61"/>
      <c r="I53" s="61"/>
    </row>
    <row r="54" spans="1:9" ht="15" customHeight="1" x14ac:dyDescent="0.25">
      <c r="A54" s="194"/>
      <c r="B54" s="195"/>
      <c r="C54" s="195"/>
      <c r="D54" s="195"/>
      <c r="E54" s="195"/>
      <c r="F54" s="195"/>
      <c r="G54" s="195"/>
      <c r="H54" s="195"/>
      <c r="I54" s="195"/>
    </row>
    <row r="55" spans="1:9" ht="15" customHeight="1" x14ac:dyDescent="0.25">
      <c r="A55" s="193"/>
      <c r="B55" s="61"/>
      <c r="C55" s="61"/>
      <c r="D55" s="61"/>
      <c r="E55" s="61"/>
      <c r="F55" s="61"/>
      <c r="G55" s="61"/>
      <c r="H55" s="61"/>
      <c r="I55" s="61"/>
    </row>
    <row r="56" spans="1:9" ht="15" customHeight="1" x14ac:dyDescent="0.25">
      <c r="A56" s="194"/>
      <c r="B56" s="195"/>
      <c r="C56" s="195"/>
      <c r="D56" s="195"/>
      <c r="E56" s="195"/>
      <c r="F56" s="195"/>
      <c r="G56" s="195"/>
      <c r="H56" s="195"/>
      <c r="I56" s="195"/>
    </row>
    <row r="57" spans="1:9" ht="15" customHeight="1" x14ac:dyDescent="0.25">
      <c r="A57" s="193"/>
      <c r="B57" s="61"/>
      <c r="C57" s="61"/>
      <c r="D57" s="61"/>
      <c r="E57" s="61"/>
      <c r="F57" s="61"/>
      <c r="G57" s="61"/>
      <c r="H57" s="61"/>
      <c r="I57" s="61"/>
    </row>
    <row r="58" spans="1:9" ht="15" customHeight="1" x14ac:dyDescent="0.25">
      <c r="A58" s="194"/>
      <c r="B58" s="195"/>
      <c r="C58" s="195"/>
      <c r="D58" s="195"/>
      <c r="E58" s="195"/>
      <c r="F58" s="195"/>
      <c r="G58" s="195"/>
      <c r="H58" s="195"/>
      <c r="I58" s="195"/>
    </row>
    <row r="59" spans="1:9" ht="15" customHeight="1" x14ac:dyDescent="0.25">
      <c r="A59" s="193"/>
      <c r="B59" s="61"/>
      <c r="C59" s="61"/>
      <c r="D59" s="61"/>
      <c r="E59" s="61"/>
      <c r="F59" s="61"/>
      <c r="G59" s="61"/>
      <c r="H59" s="61"/>
      <c r="I59" s="61"/>
    </row>
    <row r="60" spans="1:9" ht="15" customHeight="1" x14ac:dyDescent="0.25">
      <c r="A60" s="194"/>
      <c r="B60" s="195"/>
      <c r="C60" s="195"/>
      <c r="D60" s="195"/>
      <c r="E60" s="195"/>
      <c r="F60" s="195"/>
      <c r="G60" s="195"/>
      <c r="H60" s="195"/>
      <c r="I60" s="195"/>
    </row>
    <row r="61" spans="1:9" ht="15" customHeight="1" x14ac:dyDescent="0.25">
      <c r="A61" s="193"/>
      <c r="B61" s="61"/>
      <c r="C61" s="61"/>
      <c r="D61" s="61"/>
      <c r="E61" s="61"/>
      <c r="F61" s="61"/>
      <c r="G61" s="61"/>
      <c r="H61" s="61"/>
      <c r="I61" s="61"/>
    </row>
    <row r="62" spans="1:9" ht="15" customHeight="1" x14ac:dyDescent="0.25">
      <c r="A62" s="194"/>
      <c r="B62" s="195"/>
      <c r="C62" s="195"/>
      <c r="D62" s="195"/>
      <c r="E62" s="195"/>
      <c r="F62" s="195"/>
      <c r="G62" s="195"/>
      <c r="H62" s="195"/>
      <c r="I62" s="195"/>
    </row>
    <row r="63" spans="1:9" ht="15" customHeight="1" x14ac:dyDescent="0.25">
      <c r="A63" s="193"/>
      <c r="B63" s="61"/>
      <c r="C63" s="61"/>
      <c r="D63" s="61"/>
      <c r="E63" s="61"/>
      <c r="F63" s="61"/>
      <c r="G63" s="61"/>
      <c r="H63" s="61"/>
      <c r="I63" s="61"/>
    </row>
    <row r="64" spans="1:9" ht="15" customHeight="1" x14ac:dyDescent="0.25">
      <c r="A64" s="194"/>
      <c r="B64" s="195"/>
      <c r="C64" s="195"/>
      <c r="D64" s="195"/>
      <c r="E64" s="195"/>
      <c r="F64" s="195"/>
      <c r="G64" s="195"/>
      <c r="H64" s="195"/>
      <c r="I64" s="195"/>
    </row>
    <row r="65" spans="1:9" ht="15" customHeight="1" x14ac:dyDescent="0.25">
      <c r="A65" s="193"/>
      <c r="B65" s="61"/>
      <c r="C65" s="61"/>
      <c r="D65" s="61"/>
      <c r="E65" s="61"/>
      <c r="F65" s="61"/>
      <c r="G65" s="61"/>
      <c r="H65" s="61"/>
      <c r="I65" s="61"/>
    </row>
    <row r="66" spans="1:9" ht="15" customHeight="1" x14ac:dyDescent="0.25">
      <c r="A66" s="194"/>
      <c r="B66" s="195"/>
      <c r="C66" s="195"/>
      <c r="D66" s="195"/>
      <c r="E66" s="195"/>
      <c r="F66" s="195"/>
      <c r="G66" s="195"/>
      <c r="H66" s="195"/>
      <c r="I66" s="195"/>
    </row>
    <row r="67" spans="1:9" ht="15" customHeight="1" x14ac:dyDescent="0.25">
      <c r="A67" s="193"/>
      <c r="B67" s="61"/>
      <c r="C67" s="61"/>
      <c r="D67" s="61"/>
      <c r="E67" s="61"/>
      <c r="F67" s="61"/>
      <c r="G67" s="61"/>
      <c r="H67" s="61"/>
      <c r="I67" s="61"/>
    </row>
    <row r="68" spans="1:9" ht="15" customHeight="1" x14ac:dyDescent="0.25">
      <c r="A68" s="194"/>
      <c r="B68" s="195"/>
      <c r="C68" s="195"/>
      <c r="D68" s="195"/>
      <c r="E68" s="195"/>
      <c r="F68" s="195"/>
      <c r="G68" s="195"/>
      <c r="H68" s="195"/>
      <c r="I68" s="195"/>
    </row>
    <row r="69" spans="1:9" ht="15" customHeight="1" x14ac:dyDescent="0.25">
      <c r="A69" s="193"/>
      <c r="B69" s="61"/>
      <c r="C69" s="61"/>
      <c r="D69" s="61"/>
      <c r="E69" s="61"/>
      <c r="F69" s="61"/>
      <c r="G69" s="61"/>
      <c r="H69" s="61"/>
      <c r="I69" s="61"/>
    </row>
    <row r="70" spans="1:9" ht="15" customHeight="1" x14ac:dyDescent="0.25">
      <c r="A70" s="194"/>
      <c r="B70" s="195"/>
      <c r="C70" s="195"/>
      <c r="D70" s="195"/>
      <c r="E70" s="195"/>
      <c r="F70" s="195"/>
      <c r="G70" s="195"/>
      <c r="H70" s="195"/>
      <c r="I70" s="195"/>
    </row>
    <row r="71" spans="1:9" ht="15" customHeight="1" x14ac:dyDescent="0.25">
      <c r="A71" s="193"/>
      <c r="B71" s="61"/>
      <c r="C71" s="61"/>
      <c r="D71" s="61"/>
      <c r="E71" s="61"/>
      <c r="F71" s="61"/>
      <c r="G71" s="61"/>
      <c r="H71" s="61"/>
      <c r="I71" s="61"/>
    </row>
    <row r="72" spans="1:9" ht="15" customHeight="1" x14ac:dyDescent="0.25">
      <c r="A72" s="194"/>
      <c r="B72" s="195"/>
      <c r="C72" s="195"/>
      <c r="D72" s="195"/>
      <c r="E72" s="195"/>
      <c r="F72" s="195"/>
      <c r="G72" s="195"/>
      <c r="H72" s="195"/>
      <c r="I72" s="195"/>
    </row>
    <row r="73" spans="1:9" ht="15" customHeight="1" x14ac:dyDescent="0.25">
      <c r="A73" s="193"/>
      <c r="B73" s="61"/>
      <c r="C73" s="61"/>
      <c r="D73" s="61"/>
      <c r="E73" s="61"/>
      <c r="F73" s="61"/>
      <c r="G73" s="61"/>
      <c r="H73" s="61"/>
      <c r="I73" s="61"/>
    </row>
    <row r="74" spans="1:9" ht="15" customHeight="1" x14ac:dyDescent="0.25">
      <c r="A74" s="194"/>
      <c r="B74" s="195"/>
      <c r="C74" s="195"/>
      <c r="D74" s="195"/>
      <c r="E74" s="195"/>
      <c r="F74" s="195"/>
      <c r="G74" s="195"/>
      <c r="H74" s="195"/>
      <c r="I74" s="195"/>
    </row>
    <row r="75" spans="1:9" ht="15" customHeight="1" x14ac:dyDescent="0.25">
      <c r="A75" s="193"/>
      <c r="B75" s="61"/>
      <c r="C75" s="61"/>
      <c r="D75" s="61"/>
      <c r="E75" s="61"/>
      <c r="F75" s="61"/>
      <c r="G75" s="61"/>
      <c r="H75" s="61"/>
      <c r="I75" s="61"/>
    </row>
    <row r="76" spans="1:9" ht="15" customHeight="1" x14ac:dyDescent="0.25">
      <c r="A76" s="194"/>
      <c r="B76" s="195"/>
      <c r="C76" s="195"/>
      <c r="D76" s="195"/>
      <c r="E76" s="195"/>
      <c r="F76" s="195"/>
      <c r="G76" s="195"/>
      <c r="H76" s="195"/>
      <c r="I76" s="195"/>
    </row>
    <row r="77" spans="1:9" ht="15" customHeight="1" x14ac:dyDescent="0.25">
      <c r="A77" s="193"/>
      <c r="B77" s="61"/>
      <c r="C77" s="61"/>
      <c r="D77" s="61"/>
      <c r="E77" s="61"/>
      <c r="F77" s="61"/>
      <c r="G77" s="61"/>
      <c r="H77" s="61"/>
      <c r="I77" s="61"/>
    </row>
    <row r="78" spans="1:9" ht="15" customHeight="1" x14ac:dyDescent="0.25">
      <c r="A78" s="194"/>
      <c r="B78" s="195"/>
      <c r="C78" s="195"/>
      <c r="D78" s="195"/>
      <c r="E78" s="195"/>
      <c r="F78" s="195"/>
      <c r="G78" s="195"/>
      <c r="H78" s="195"/>
      <c r="I78" s="195"/>
    </row>
    <row r="79" spans="1:9" ht="15" customHeight="1" x14ac:dyDescent="0.25">
      <c r="A79" s="193"/>
      <c r="B79" s="61"/>
      <c r="C79" s="61"/>
      <c r="D79" s="61"/>
      <c r="E79" s="61"/>
      <c r="F79" s="61"/>
      <c r="G79" s="61"/>
      <c r="H79" s="61"/>
      <c r="I79" s="61"/>
    </row>
    <row r="80" spans="1:9" ht="15" customHeight="1" x14ac:dyDescent="0.25">
      <c r="A80" s="194"/>
      <c r="B80" s="195"/>
      <c r="C80" s="195"/>
      <c r="D80" s="195"/>
      <c r="E80" s="195"/>
      <c r="F80" s="195"/>
      <c r="G80" s="195"/>
      <c r="H80" s="195"/>
      <c r="I80" s="195"/>
    </row>
    <row r="81" spans="1:9" ht="15" customHeight="1" x14ac:dyDescent="0.25">
      <c r="A81" s="193"/>
      <c r="B81" s="61"/>
      <c r="C81" s="61"/>
      <c r="D81" s="61"/>
      <c r="E81" s="61"/>
      <c r="F81" s="61"/>
      <c r="G81" s="61"/>
      <c r="H81" s="61"/>
      <c r="I81" s="61"/>
    </row>
    <row r="82" spans="1:9" ht="15" customHeight="1" x14ac:dyDescent="0.25">
      <c r="A82" s="194"/>
      <c r="B82" s="195"/>
      <c r="C82" s="195"/>
      <c r="D82" s="195"/>
      <c r="E82" s="195"/>
      <c r="F82" s="195"/>
      <c r="G82" s="195"/>
      <c r="H82" s="195"/>
      <c r="I82" s="195"/>
    </row>
    <row r="83" spans="1:9" ht="15" customHeight="1" x14ac:dyDescent="0.25">
      <c r="A83" s="193"/>
      <c r="B83" s="61"/>
      <c r="C83" s="61"/>
      <c r="D83" s="61"/>
      <c r="E83" s="61"/>
      <c r="F83" s="61"/>
      <c r="G83" s="61"/>
      <c r="H83" s="61"/>
      <c r="I83" s="61"/>
    </row>
    <row r="84" spans="1:9" ht="15" customHeight="1" x14ac:dyDescent="0.25">
      <c r="A84" s="194"/>
      <c r="B84" s="195"/>
      <c r="C84" s="195"/>
      <c r="D84" s="195"/>
      <c r="E84" s="195"/>
      <c r="F84" s="195"/>
      <c r="G84" s="195"/>
      <c r="H84" s="195"/>
      <c r="I84" s="195"/>
    </row>
    <row r="85" spans="1:9" ht="15" customHeight="1" x14ac:dyDescent="0.25">
      <c r="A85" s="193"/>
      <c r="B85" s="61"/>
      <c r="C85" s="61"/>
      <c r="D85" s="61"/>
      <c r="E85" s="61"/>
      <c r="F85" s="61"/>
      <c r="G85" s="61"/>
      <c r="H85" s="61"/>
      <c r="I85" s="61"/>
    </row>
    <row r="86" spans="1:9" ht="15" customHeight="1" x14ac:dyDescent="0.25">
      <c r="A86" s="194"/>
      <c r="B86" s="195"/>
      <c r="C86" s="195"/>
      <c r="D86" s="195"/>
      <c r="E86" s="195"/>
      <c r="F86" s="195"/>
      <c r="G86" s="195"/>
      <c r="H86" s="195"/>
      <c r="I86" s="195"/>
    </row>
    <row r="87" spans="1:9" ht="15" customHeight="1" x14ac:dyDescent="0.25">
      <c r="A87" s="193"/>
      <c r="B87" s="61"/>
      <c r="C87" s="61"/>
      <c r="D87" s="61"/>
      <c r="E87" s="61"/>
      <c r="F87" s="61"/>
      <c r="G87" s="61"/>
      <c r="H87" s="61"/>
      <c r="I87" s="61"/>
    </row>
    <row r="88" spans="1:9" ht="15" customHeight="1" x14ac:dyDescent="0.25">
      <c r="A88" s="194"/>
      <c r="B88" s="195"/>
      <c r="C88" s="195"/>
      <c r="D88" s="195"/>
      <c r="E88" s="195"/>
      <c r="F88" s="195"/>
      <c r="G88" s="195"/>
      <c r="H88" s="195"/>
      <c r="I88" s="195"/>
    </row>
    <row r="89" spans="1:9" ht="15" customHeight="1" x14ac:dyDescent="0.25">
      <c r="A89" s="193"/>
      <c r="B89" s="61"/>
      <c r="C89" s="61"/>
      <c r="D89" s="61"/>
      <c r="E89" s="61"/>
      <c r="F89" s="61"/>
      <c r="G89" s="61"/>
      <c r="H89" s="61"/>
      <c r="I89" s="61"/>
    </row>
    <row r="90" spans="1:9" ht="15" customHeight="1" x14ac:dyDescent="0.25">
      <c r="A90" s="194"/>
      <c r="B90" s="195"/>
      <c r="C90" s="195"/>
      <c r="D90" s="195"/>
      <c r="E90" s="195"/>
      <c r="F90" s="195"/>
      <c r="G90" s="195"/>
      <c r="H90" s="195"/>
      <c r="I90" s="195"/>
    </row>
    <row r="91" spans="1:9" ht="15" customHeight="1" x14ac:dyDescent="0.25">
      <c r="A91" s="193"/>
      <c r="B91" s="61"/>
      <c r="C91" s="61"/>
      <c r="D91" s="61"/>
      <c r="E91" s="61"/>
      <c r="F91" s="61"/>
      <c r="G91" s="61"/>
      <c r="H91" s="61"/>
      <c r="I91" s="61"/>
    </row>
    <row r="92" spans="1:9" ht="15" customHeight="1" x14ac:dyDescent="0.25">
      <c r="A92" s="194"/>
      <c r="B92" s="195"/>
      <c r="C92" s="195"/>
      <c r="D92" s="195"/>
      <c r="E92" s="195"/>
      <c r="F92" s="195"/>
      <c r="G92" s="195"/>
      <c r="H92" s="195"/>
      <c r="I92" s="195"/>
    </row>
    <row r="93" spans="1:9" ht="15" customHeight="1" x14ac:dyDescent="0.25">
      <c r="A93" s="193"/>
      <c r="B93" s="61"/>
      <c r="C93" s="61"/>
      <c r="D93" s="61"/>
      <c r="E93" s="61"/>
      <c r="F93" s="61"/>
      <c r="G93" s="61"/>
      <c r="H93" s="61"/>
      <c r="I93" s="61"/>
    </row>
    <row r="94" spans="1:9" ht="15" customHeight="1" x14ac:dyDescent="0.25">
      <c r="A94" s="194"/>
      <c r="B94" s="195"/>
      <c r="C94" s="195"/>
      <c r="D94" s="195"/>
      <c r="E94" s="195"/>
      <c r="F94" s="195"/>
      <c r="G94" s="195"/>
      <c r="H94" s="195"/>
      <c r="I94" s="195"/>
    </row>
    <row r="95" spans="1:9" ht="15" customHeight="1" x14ac:dyDescent="0.25">
      <c r="A95" s="193"/>
      <c r="B95" s="61"/>
      <c r="C95" s="61"/>
      <c r="D95" s="61"/>
      <c r="E95" s="61"/>
      <c r="F95" s="61"/>
      <c r="G95" s="61"/>
      <c r="H95" s="61"/>
      <c r="I95" s="61"/>
    </row>
    <row r="96" spans="1:9" ht="15" customHeight="1" x14ac:dyDescent="0.25">
      <c r="A96" s="194"/>
      <c r="B96" s="195"/>
      <c r="C96" s="195"/>
      <c r="D96" s="195"/>
      <c r="E96" s="195"/>
      <c r="F96" s="195"/>
      <c r="G96" s="195"/>
      <c r="H96" s="195"/>
      <c r="I96" s="195"/>
    </row>
    <row r="97" spans="1:9" ht="15" customHeight="1" x14ac:dyDescent="0.25">
      <c r="A97" s="193"/>
      <c r="B97" s="61"/>
      <c r="C97" s="61"/>
      <c r="D97" s="61"/>
      <c r="E97" s="61"/>
      <c r="F97" s="61"/>
      <c r="G97" s="61"/>
      <c r="H97" s="61"/>
      <c r="I97" s="61"/>
    </row>
    <row r="98" spans="1:9" ht="15" customHeight="1" x14ac:dyDescent="0.25">
      <c r="A98" s="194"/>
      <c r="B98" s="195"/>
      <c r="C98" s="195"/>
      <c r="D98" s="195"/>
      <c r="E98" s="195"/>
      <c r="F98" s="195"/>
      <c r="G98" s="195"/>
      <c r="H98" s="195"/>
      <c r="I98" s="195"/>
    </row>
    <row r="99" spans="1:9" ht="15" customHeight="1" x14ac:dyDescent="0.25">
      <c r="A99" s="193"/>
      <c r="B99" s="61"/>
      <c r="C99" s="61"/>
      <c r="D99" s="61"/>
      <c r="E99" s="61"/>
      <c r="F99" s="61"/>
      <c r="G99" s="61"/>
      <c r="H99" s="61"/>
      <c r="I99" s="61"/>
    </row>
    <row r="100" spans="1:9" ht="15" customHeight="1" x14ac:dyDescent="0.25">
      <c r="A100" s="194"/>
      <c r="B100" s="195"/>
      <c r="C100" s="195"/>
      <c r="D100" s="195"/>
      <c r="E100" s="195"/>
      <c r="F100" s="195"/>
      <c r="G100" s="195"/>
      <c r="H100" s="195"/>
      <c r="I100" s="195"/>
    </row>
    <row r="101" spans="1:9" ht="15" customHeight="1" x14ac:dyDescent="0.25">
      <c r="A101" s="193"/>
      <c r="B101" s="61"/>
      <c r="C101" s="61"/>
      <c r="D101" s="61"/>
      <c r="E101" s="61"/>
      <c r="F101" s="61"/>
      <c r="G101" s="61"/>
      <c r="H101" s="61"/>
      <c r="I101" s="61"/>
    </row>
    <row r="102" spans="1:9" ht="15" customHeight="1" x14ac:dyDescent="0.25">
      <c r="A102" s="194"/>
      <c r="B102" s="195"/>
      <c r="C102" s="195"/>
      <c r="D102" s="195"/>
      <c r="E102" s="195"/>
      <c r="F102" s="195"/>
      <c r="G102" s="195"/>
      <c r="H102" s="195"/>
      <c r="I102" s="195"/>
    </row>
    <row r="103" spans="1:9" ht="15" customHeight="1" x14ac:dyDescent="0.25">
      <c r="A103" s="193"/>
      <c r="B103" s="61"/>
      <c r="C103" s="61"/>
      <c r="D103" s="61"/>
      <c r="E103" s="61"/>
      <c r="F103" s="61"/>
      <c r="G103" s="61"/>
      <c r="H103" s="61"/>
      <c r="I103" s="61"/>
    </row>
    <row r="104" spans="1:9" ht="15" customHeight="1" x14ac:dyDescent="0.25">
      <c r="A104" s="194"/>
      <c r="B104" s="195"/>
      <c r="C104" s="195"/>
      <c r="D104" s="195"/>
      <c r="E104" s="195"/>
      <c r="F104" s="195"/>
      <c r="G104" s="195"/>
      <c r="H104" s="195"/>
      <c r="I104" s="195"/>
    </row>
    <row r="105" spans="1:9" ht="15" customHeight="1" x14ac:dyDescent="0.25">
      <c r="A105" s="193"/>
      <c r="B105" s="61"/>
      <c r="C105" s="61"/>
      <c r="D105" s="61"/>
      <c r="E105" s="61"/>
      <c r="F105" s="61"/>
      <c r="G105" s="61"/>
      <c r="H105" s="61"/>
      <c r="I105" s="61"/>
    </row>
    <row r="106" spans="1:9" ht="15" customHeight="1" x14ac:dyDescent="0.25">
      <c r="A106" s="194"/>
      <c r="B106" s="195"/>
      <c r="C106" s="195"/>
      <c r="D106" s="195"/>
      <c r="E106" s="195"/>
      <c r="F106" s="195"/>
      <c r="G106" s="195"/>
      <c r="H106" s="195"/>
      <c r="I106" s="195"/>
    </row>
    <row r="107" spans="1:9" ht="15" customHeight="1" x14ac:dyDescent="0.25">
      <c r="A107" s="193"/>
      <c r="B107" s="61"/>
      <c r="C107" s="61"/>
      <c r="D107" s="61"/>
      <c r="E107" s="61"/>
      <c r="F107" s="61"/>
      <c r="G107" s="61"/>
      <c r="H107" s="61"/>
      <c r="I107" s="61"/>
    </row>
    <row r="108" spans="1:9" ht="15" customHeight="1" x14ac:dyDescent="0.25">
      <c r="A108" s="194"/>
      <c r="B108" s="195"/>
      <c r="C108" s="195"/>
      <c r="D108" s="195"/>
      <c r="E108" s="195"/>
      <c r="F108" s="195"/>
      <c r="G108" s="195"/>
      <c r="H108" s="195"/>
      <c r="I108" s="195"/>
    </row>
    <row r="109" spans="1:9" ht="15" customHeight="1" x14ac:dyDescent="0.25">
      <c r="A109" s="193"/>
      <c r="B109" s="61"/>
      <c r="C109" s="61"/>
      <c r="D109" s="61"/>
      <c r="E109" s="61"/>
      <c r="F109" s="61"/>
      <c r="G109" s="61"/>
      <c r="H109" s="61"/>
      <c r="I109" s="61"/>
    </row>
    <row r="110" spans="1:9" ht="15" customHeight="1" x14ac:dyDescent="0.25">
      <c r="A110" s="194"/>
      <c r="B110" s="195"/>
      <c r="C110" s="195"/>
      <c r="D110" s="195"/>
      <c r="E110" s="195"/>
      <c r="F110" s="195"/>
      <c r="G110" s="195"/>
      <c r="H110" s="195"/>
      <c r="I110" s="195"/>
    </row>
    <row r="111" spans="1:9" ht="15" customHeight="1" x14ac:dyDescent="0.25">
      <c r="A111" s="193"/>
      <c r="B111" s="61"/>
      <c r="C111" s="61"/>
      <c r="D111" s="61"/>
      <c r="E111" s="61"/>
      <c r="F111" s="61"/>
      <c r="G111" s="61"/>
      <c r="H111" s="61"/>
      <c r="I111" s="61"/>
    </row>
    <row r="112" spans="1:9" ht="15" customHeight="1" x14ac:dyDescent="0.25">
      <c r="A112" s="194"/>
      <c r="B112" s="195"/>
      <c r="C112" s="195"/>
      <c r="D112" s="195"/>
      <c r="E112" s="195"/>
      <c r="F112" s="195"/>
      <c r="G112" s="195"/>
      <c r="H112" s="195"/>
      <c r="I112" s="195"/>
    </row>
    <row r="113" spans="1:9" ht="15" customHeight="1" x14ac:dyDescent="0.25">
      <c r="A113" s="193"/>
      <c r="B113" s="61"/>
      <c r="C113" s="61"/>
      <c r="D113" s="61"/>
      <c r="E113" s="61"/>
      <c r="F113" s="61"/>
      <c r="G113" s="61"/>
      <c r="H113" s="61"/>
      <c r="I113" s="61"/>
    </row>
    <row r="114" spans="1:9" ht="15" customHeight="1" x14ac:dyDescent="0.25">
      <c r="A114" s="194"/>
      <c r="B114" s="195"/>
      <c r="C114" s="195"/>
      <c r="D114" s="195"/>
      <c r="E114" s="195"/>
      <c r="F114" s="195"/>
      <c r="G114" s="195"/>
      <c r="H114" s="195"/>
      <c r="I114" s="195"/>
    </row>
    <row r="115" spans="1:9" ht="15" customHeight="1" x14ac:dyDescent="0.25">
      <c r="A115" s="193"/>
      <c r="B115" s="61"/>
      <c r="C115" s="61"/>
      <c r="D115" s="61"/>
      <c r="E115" s="61"/>
      <c r="F115" s="61"/>
      <c r="G115" s="61"/>
      <c r="H115" s="61"/>
      <c r="I115" s="61"/>
    </row>
    <row r="116" spans="1:9" ht="15" customHeight="1" x14ac:dyDescent="0.25">
      <c r="A116" s="194"/>
      <c r="B116" s="195"/>
      <c r="C116" s="195"/>
      <c r="D116" s="195"/>
      <c r="E116" s="195"/>
      <c r="F116" s="195"/>
      <c r="G116" s="195"/>
      <c r="H116" s="195"/>
      <c r="I116" s="195"/>
    </row>
    <row r="117" spans="1:9" ht="15" customHeight="1" x14ac:dyDescent="0.25">
      <c r="A117" s="193"/>
      <c r="B117" s="61"/>
      <c r="C117" s="61"/>
      <c r="D117" s="61"/>
      <c r="E117" s="61"/>
      <c r="F117" s="61"/>
      <c r="G117" s="61"/>
      <c r="H117" s="61"/>
      <c r="I117" s="61"/>
    </row>
    <row r="118" spans="1:9" ht="15" customHeight="1" x14ac:dyDescent="0.25">
      <c r="A118" s="194"/>
      <c r="B118" s="195"/>
      <c r="C118" s="195"/>
      <c r="D118" s="195"/>
      <c r="E118" s="195"/>
      <c r="F118" s="195"/>
      <c r="G118" s="195"/>
      <c r="H118" s="195"/>
      <c r="I118" s="195"/>
    </row>
    <row r="119" spans="1:9" ht="15" customHeight="1" x14ac:dyDescent="0.25">
      <c r="A119" s="193"/>
      <c r="B119" s="61"/>
      <c r="C119" s="61"/>
      <c r="D119" s="61"/>
      <c r="E119" s="61"/>
      <c r="F119" s="61"/>
      <c r="G119" s="61"/>
      <c r="H119" s="61"/>
      <c r="I119" s="61"/>
    </row>
    <row r="120" spans="1:9" ht="15" customHeight="1" x14ac:dyDescent="0.25">
      <c r="A120" s="194"/>
      <c r="B120" s="195"/>
      <c r="C120" s="195"/>
      <c r="D120" s="195"/>
      <c r="E120" s="195"/>
      <c r="F120" s="195"/>
      <c r="G120" s="195"/>
      <c r="H120" s="195"/>
      <c r="I120" s="195"/>
    </row>
    <row r="121" spans="1:9" ht="15" customHeight="1" x14ac:dyDescent="0.25">
      <c r="A121" s="193"/>
      <c r="B121" s="61"/>
      <c r="C121" s="61"/>
      <c r="D121" s="61"/>
      <c r="E121" s="61"/>
      <c r="F121" s="61"/>
      <c r="G121" s="61"/>
      <c r="H121" s="61"/>
      <c r="I121" s="61"/>
    </row>
    <row r="122" spans="1:9" ht="15" customHeight="1" x14ac:dyDescent="0.25">
      <c r="A122" s="194"/>
      <c r="B122" s="195"/>
      <c r="C122" s="195"/>
      <c r="D122" s="195"/>
      <c r="E122" s="195"/>
      <c r="F122" s="195"/>
      <c r="G122" s="195"/>
      <c r="H122" s="195"/>
      <c r="I122" s="195"/>
    </row>
    <row r="123" spans="1:9" ht="15" customHeight="1" x14ac:dyDescent="0.25">
      <c r="A123" s="193"/>
      <c r="B123" s="61"/>
      <c r="C123" s="61"/>
      <c r="D123" s="61"/>
      <c r="E123" s="61"/>
      <c r="F123" s="61"/>
      <c r="G123" s="61"/>
      <c r="H123" s="61"/>
      <c r="I123" s="61"/>
    </row>
    <row r="124" spans="1:9" ht="15" customHeight="1" x14ac:dyDescent="0.25">
      <c r="A124" s="194"/>
      <c r="B124" s="195"/>
      <c r="C124" s="195"/>
      <c r="D124" s="195"/>
      <c r="E124" s="195"/>
      <c r="F124" s="195"/>
      <c r="G124" s="195"/>
      <c r="H124" s="195"/>
      <c r="I124" s="195"/>
    </row>
    <row r="125" spans="1:9" ht="15" customHeight="1" x14ac:dyDescent="0.25">
      <c r="A125" s="193"/>
      <c r="B125" s="61"/>
      <c r="C125" s="61"/>
      <c r="D125" s="61"/>
      <c r="E125" s="61"/>
      <c r="F125" s="61"/>
      <c r="G125" s="61"/>
      <c r="H125" s="61"/>
      <c r="I125" s="61"/>
    </row>
    <row r="126" spans="1:9" ht="15" customHeight="1" x14ac:dyDescent="0.25">
      <c r="A126" s="194"/>
      <c r="B126" s="195"/>
      <c r="C126" s="195"/>
      <c r="D126" s="195"/>
      <c r="E126" s="195"/>
      <c r="F126" s="195"/>
      <c r="G126" s="195"/>
      <c r="H126" s="195"/>
      <c r="I126" s="195"/>
    </row>
    <row r="127" spans="1:9" ht="15" customHeight="1" x14ac:dyDescent="0.25">
      <c r="A127" s="193"/>
      <c r="B127" s="61"/>
      <c r="C127" s="61"/>
      <c r="D127" s="61"/>
      <c r="E127" s="61"/>
      <c r="F127" s="61"/>
      <c r="G127" s="61"/>
      <c r="H127" s="61"/>
      <c r="I127" s="61"/>
    </row>
    <row r="128" spans="1:9" ht="15" customHeight="1" x14ac:dyDescent="0.25">
      <c r="A128" s="194"/>
      <c r="B128" s="195"/>
      <c r="C128" s="195"/>
      <c r="D128" s="195"/>
      <c r="E128" s="195"/>
      <c r="F128" s="195"/>
      <c r="G128" s="195"/>
      <c r="H128" s="195"/>
      <c r="I128" s="195"/>
    </row>
    <row r="129" spans="1:9" ht="15" customHeight="1" x14ac:dyDescent="0.25">
      <c r="A129" s="193"/>
      <c r="B129" s="61"/>
      <c r="C129" s="61"/>
      <c r="D129" s="61"/>
      <c r="E129" s="61"/>
      <c r="F129" s="61"/>
      <c r="G129" s="61"/>
      <c r="H129" s="61"/>
      <c r="I129" s="61"/>
    </row>
    <row r="130" spans="1:9" ht="15" customHeight="1" x14ac:dyDescent="0.25">
      <c r="A130" s="194"/>
      <c r="B130" s="195"/>
      <c r="C130" s="195"/>
      <c r="D130" s="195"/>
      <c r="E130" s="195"/>
      <c r="F130" s="195"/>
      <c r="G130" s="195"/>
      <c r="H130" s="195"/>
      <c r="I130" s="195"/>
    </row>
    <row r="131" spans="1:9" ht="15" customHeight="1" x14ac:dyDescent="0.25">
      <c r="A131" s="193"/>
      <c r="B131" s="61"/>
      <c r="C131" s="61"/>
      <c r="D131" s="61"/>
      <c r="E131" s="61"/>
      <c r="F131" s="61"/>
      <c r="G131" s="61"/>
      <c r="H131" s="61"/>
      <c r="I131" s="61"/>
    </row>
    <row r="132" spans="1:9" ht="15" customHeight="1" x14ac:dyDescent="0.25">
      <c r="A132" s="194"/>
      <c r="B132" s="195"/>
      <c r="C132" s="195"/>
      <c r="D132" s="195"/>
      <c r="E132" s="195"/>
      <c r="F132" s="195"/>
      <c r="G132" s="195"/>
      <c r="H132" s="195"/>
      <c r="I132" s="195"/>
    </row>
    <row r="133" spans="1:9" ht="15" customHeight="1" x14ac:dyDescent="0.25">
      <c r="A133" s="193"/>
      <c r="B133" s="61"/>
      <c r="C133" s="61"/>
      <c r="D133" s="61"/>
      <c r="E133" s="61"/>
      <c r="F133" s="61"/>
      <c r="G133" s="61"/>
      <c r="H133" s="61"/>
      <c r="I133" s="61"/>
    </row>
    <row r="134" spans="1:9" ht="15" customHeight="1" x14ac:dyDescent="0.25">
      <c r="A134" s="194"/>
      <c r="B134" s="195"/>
      <c r="C134" s="195"/>
      <c r="D134" s="195"/>
      <c r="E134" s="195"/>
      <c r="F134" s="195"/>
      <c r="G134" s="195"/>
      <c r="H134" s="195"/>
      <c r="I134" s="195"/>
    </row>
    <row r="135" spans="1:9" ht="15" customHeight="1" x14ac:dyDescent="0.25">
      <c r="A135" s="193"/>
      <c r="B135" s="61"/>
      <c r="C135" s="61"/>
      <c r="D135" s="61"/>
      <c r="E135" s="61"/>
      <c r="F135" s="61"/>
      <c r="G135" s="61"/>
      <c r="H135" s="61"/>
      <c r="I135" s="61"/>
    </row>
    <row r="136" spans="1:9" ht="15" customHeight="1" x14ac:dyDescent="0.25">
      <c r="A136" s="194"/>
      <c r="B136" s="195"/>
      <c r="C136" s="195"/>
      <c r="D136" s="195"/>
      <c r="E136" s="195"/>
      <c r="F136" s="195"/>
      <c r="G136" s="195"/>
      <c r="H136" s="195"/>
      <c r="I136" s="195"/>
    </row>
    <row r="137" spans="1:9" ht="15" customHeight="1" x14ac:dyDescent="0.25">
      <c r="A137" s="193"/>
      <c r="B137" s="61"/>
      <c r="C137" s="61"/>
      <c r="D137" s="61"/>
      <c r="E137" s="61"/>
      <c r="F137" s="61"/>
      <c r="G137" s="61"/>
      <c r="H137" s="61"/>
      <c r="I137" s="61"/>
    </row>
    <row r="138" spans="1:9" ht="15" customHeight="1" x14ac:dyDescent="0.25">
      <c r="A138" s="194"/>
      <c r="B138" s="195"/>
      <c r="C138" s="195"/>
      <c r="D138" s="195"/>
      <c r="E138" s="195"/>
      <c r="F138" s="195"/>
      <c r="G138" s="195"/>
      <c r="H138" s="195"/>
      <c r="I138" s="195"/>
    </row>
    <row r="139" spans="1:9" ht="15" customHeight="1" x14ac:dyDescent="0.25">
      <c r="A139" s="193"/>
      <c r="B139" s="61"/>
      <c r="C139" s="61"/>
      <c r="D139" s="61"/>
      <c r="E139" s="61"/>
      <c r="F139" s="61"/>
      <c r="G139" s="61"/>
      <c r="H139" s="61"/>
      <c r="I139" s="61"/>
    </row>
    <row r="140" spans="1:9" ht="15" customHeight="1" x14ac:dyDescent="0.25">
      <c r="A140" s="194"/>
      <c r="B140" s="195"/>
      <c r="C140" s="195"/>
      <c r="D140" s="195"/>
      <c r="E140" s="195"/>
      <c r="F140" s="195"/>
      <c r="G140" s="195"/>
      <c r="H140" s="195"/>
      <c r="I140" s="195"/>
    </row>
    <row r="141" spans="1:9" ht="15" customHeight="1" x14ac:dyDescent="0.25">
      <c r="A141" s="193"/>
      <c r="B141" s="61"/>
      <c r="C141" s="61"/>
      <c r="D141" s="61"/>
      <c r="E141" s="61"/>
      <c r="F141" s="61"/>
      <c r="G141" s="61"/>
      <c r="H141" s="61"/>
      <c r="I141" s="61"/>
    </row>
    <row r="142" spans="1:9" ht="15" customHeight="1" x14ac:dyDescent="0.25">
      <c r="A142" s="194"/>
      <c r="B142" s="195"/>
      <c r="C142" s="195"/>
      <c r="D142" s="195"/>
      <c r="E142" s="195"/>
      <c r="F142" s="195"/>
      <c r="G142" s="195"/>
      <c r="H142" s="195"/>
      <c r="I142" s="195"/>
    </row>
    <row r="143" spans="1:9" ht="15" customHeight="1" x14ac:dyDescent="0.25">
      <c r="A143" s="193"/>
      <c r="B143" s="61"/>
      <c r="C143" s="61"/>
      <c r="D143" s="61"/>
      <c r="E143" s="61"/>
      <c r="F143" s="61"/>
      <c r="G143" s="61"/>
      <c r="H143" s="61"/>
      <c r="I143" s="61"/>
    </row>
    <row r="144" spans="1:9" ht="15" customHeight="1" x14ac:dyDescent="0.25">
      <c r="A144" s="194"/>
      <c r="B144" s="195"/>
      <c r="C144" s="195"/>
      <c r="D144" s="195"/>
      <c r="E144" s="195"/>
      <c r="F144" s="195"/>
      <c r="G144" s="195"/>
      <c r="H144" s="195"/>
      <c r="I144" s="195"/>
    </row>
    <row r="145" spans="1:9" ht="15" customHeight="1" x14ac:dyDescent="0.25">
      <c r="A145" s="193"/>
      <c r="B145" s="61"/>
      <c r="C145" s="61"/>
      <c r="D145" s="61"/>
      <c r="E145" s="61"/>
      <c r="F145" s="61"/>
      <c r="G145" s="61"/>
      <c r="H145" s="61"/>
      <c r="I145" s="61"/>
    </row>
    <row r="146" spans="1:9" ht="15" customHeight="1" x14ac:dyDescent="0.25">
      <c r="A146" s="194"/>
      <c r="B146" s="195"/>
      <c r="C146" s="195"/>
      <c r="D146" s="195"/>
      <c r="E146" s="195"/>
      <c r="F146" s="195"/>
      <c r="G146" s="195"/>
      <c r="H146" s="195"/>
      <c r="I146" s="195"/>
    </row>
    <row r="147" spans="1:9" ht="15" customHeight="1" x14ac:dyDescent="0.25">
      <c r="A147" s="193"/>
      <c r="B147" s="61"/>
      <c r="C147" s="61"/>
      <c r="D147" s="61"/>
      <c r="E147" s="61"/>
      <c r="F147" s="61"/>
      <c r="G147" s="61"/>
      <c r="H147" s="61"/>
      <c r="I147" s="61"/>
    </row>
    <row r="148" spans="1:9" ht="15" customHeight="1" x14ac:dyDescent="0.25">
      <c r="A148" s="194"/>
      <c r="B148" s="195"/>
      <c r="C148" s="195"/>
      <c r="D148" s="195"/>
      <c r="E148" s="195"/>
      <c r="F148" s="195"/>
      <c r="G148" s="195"/>
      <c r="H148" s="195"/>
      <c r="I148" s="195"/>
    </row>
    <row r="149" spans="1:9" ht="15" customHeight="1" x14ac:dyDescent="0.25">
      <c r="A149" s="193"/>
      <c r="B149" s="61"/>
      <c r="C149" s="61"/>
      <c r="D149" s="61"/>
      <c r="E149" s="61"/>
      <c r="F149" s="61"/>
      <c r="G149" s="61"/>
      <c r="H149" s="61"/>
      <c r="I149" s="61"/>
    </row>
    <row r="150" spans="1:9" ht="15" customHeight="1" x14ac:dyDescent="0.25">
      <c r="A150" s="194"/>
      <c r="B150" s="195"/>
      <c r="C150" s="195"/>
      <c r="D150" s="195"/>
      <c r="E150" s="195"/>
      <c r="F150" s="195"/>
      <c r="G150" s="195"/>
      <c r="H150" s="195"/>
      <c r="I150" s="195"/>
    </row>
    <row r="151" spans="1:9" ht="15" customHeight="1" x14ac:dyDescent="0.25">
      <c r="A151" s="193"/>
      <c r="B151" s="61"/>
      <c r="C151" s="61"/>
      <c r="D151" s="61"/>
      <c r="E151" s="61"/>
      <c r="F151" s="61"/>
      <c r="G151" s="61"/>
      <c r="H151" s="61"/>
      <c r="I151" s="61"/>
    </row>
    <row r="152" spans="1:9" ht="15" customHeight="1" x14ac:dyDescent="0.25">
      <c r="A152" s="194"/>
      <c r="B152" s="195"/>
      <c r="C152" s="195"/>
      <c r="D152" s="195"/>
      <c r="E152" s="195"/>
      <c r="F152" s="195"/>
      <c r="G152" s="195"/>
      <c r="H152" s="195"/>
      <c r="I152" s="195"/>
    </row>
    <row r="153" spans="1:9" ht="15" customHeight="1" x14ac:dyDescent="0.25">
      <c r="A153" s="193"/>
      <c r="B153" s="61"/>
      <c r="C153" s="61"/>
      <c r="D153" s="61"/>
      <c r="E153" s="61"/>
      <c r="F153" s="61"/>
      <c r="G153" s="61"/>
      <c r="H153" s="61"/>
      <c r="I153" s="61"/>
    </row>
    <row r="154" spans="1:9" ht="15" customHeight="1" x14ac:dyDescent="0.25">
      <c r="A154" s="194"/>
      <c r="B154" s="195"/>
      <c r="C154" s="195"/>
      <c r="D154" s="195"/>
      <c r="E154" s="195"/>
      <c r="F154" s="195"/>
      <c r="G154" s="195"/>
      <c r="H154" s="195"/>
      <c r="I154" s="195"/>
    </row>
    <row r="155" spans="1:9" ht="15" customHeight="1" x14ac:dyDescent="0.25">
      <c r="A155" s="193"/>
      <c r="B155" s="61"/>
      <c r="C155" s="61"/>
      <c r="D155" s="61"/>
      <c r="E155" s="61"/>
      <c r="F155" s="61"/>
      <c r="G155" s="61"/>
      <c r="H155" s="61"/>
      <c r="I155" s="61"/>
    </row>
    <row r="156" spans="1:9" ht="15" customHeight="1" x14ac:dyDescent="0.25">
      <c r="A156" s="194"/>
      <c r="B156" s="195"/>
      <c r="C156" s="195"/>
      <c r="D156" s="195"/>
      <c r="E156" s="195"/>
      <c r="F156" s="195"/>
      <c r="G156" s="195"/>
      <c r="H156" s="195"/>
      <c r="I156" s="195"/>
    </row>
    <row r="157" spans="1:9" ht="15" customHeight="1" x14ac:dyDescent="0.25">
      <c r="A157" s="193"/>
      <c r="B157" s="61"/>
      <c r="C157" s="61"/>
      <c r="D157" s="61"/>
      <c r="E157" s="61"/>
      <c r="F157" s="61"/>
      <c r="G157" s="61"/>
      <c r="H157" s="61"/>
      <c r="I157" s="61"/>
    </row>
    <row r="158" spans="1:9" ht="15" customHeight="1" x14ac:dyDescent="0.25">
      <c r="A158" s="194"/>
      <c r="B158" s="195"/>
      <c r="C158" s="195"/>
      <c r="D158" s="195"/>
      <c r="E158" s="195"/>
      <c r="F158" s="195"/>
      <c r="G158" s="195"/>
      <c r="H158" s="195"/>
      <c r="I158" s="195"/>
    </row>
    <row r="159" spans="1:9" ht="15" customHeight="1" x14ac:dyDescent="0.25">
      <c r="A159" s="193"/>
      <c r="B159" s="61"/>
      <c r="C159" s="61"/>
      <c r="D159" s="61"/>
      <c r="E159" s="61"/>
      <c r="F159" s="61"/>
      <c r="G159" s="61"/>
      <c r="H159" s="61"/>
      <c r="I159" s="61"/>
    </row>
    <row r="160" spans="1:9" ht="15" customHeight="1" x14ac:dyDescent="0.25">
      <c r="A160" s="194"/>
      <c r="B160" s="195"/>
      <c r="C160" s="195"/>
      <c r="D160" s="195"/>
      <c r="E160" s="195"/>
      <c r="F160" s="195"/>
      <c r="G160" s="195"/>
      <c r="H160" s="195"/>
      <c r="I160" s="195"/>
    </row>
    <row r="161" spans="1:9" ht="15" customHeight="1" x14ac:dyDescent="0.25">
      <c r="A161" s="193"/>
      <c r="B161" s="61"/>
      <c r="C161" s="61"/>
      <c r="D161" s="61"/>
      <c r="E161" s="61"/>
      <c r="F161" s="61"/>
      <c r="G161" s="61"/>
      <c r="H161" s="61"/>
      <c r="I161" s="61"/>
    </row>
    <row r="162" spans="1:9" ht="15" customHeight="1" x14ac:dyDescent="0.25">
      <c r="A162" s="194"/>
      <c r="B162" s="195"/>
      <c r="C162" s="195"/>
      <c r="D162" s="195"/>
      <c r="E162" s="195"/>
      <c r="F162" s="195"/>
      <c r="G162" s="195"/>
      <c r="H162" s="195"/>
      <c r="I162" s="195"/>
    </row>
    <row r="163" spans="1:9" ht="15" customHeight="1" x14ac:dyDescent="0.25">
      <c r="A163" s="193"/>
      <c r="B163" s="61"/>
      <c r="C163" s="61"/>
      <c r="D163" s="61"/>
      <c r="E163" s="61"/>
      <c r="F163" s="61"/>
      <c r="G163" s="61"/>
      <c r="H163" s="61"/>
      <c r="I163" s="61"/>
    </row>
    <row r="164" spans="1:9" ht="15" customHeight="1" x14ac:dyDescent="0.25">
      <c r="A164" s="194"/>
      <c r="B164" s="195"/>
      <c r="C164" s="195"/>
      <c r="D164" s="195"/>
      <c r="E164" s="195"/>
      <c r="F164" s="195"/>
      <c r="G164" s="195"/>
      <c r="H164" s="195"/>
      <c r="I164" s="195"/>
    </row>
    <row r="165" spans="1:9" ht="15" customHeight="1" x14ac:dyDescent="0.25">
      <c r="A165" s="193"/>
      <c r="B165" s="61"/>
      <c r="C165" s="61"/>
      <c r="D165" s="61"/>
      <c r="E165" s="61"/>
      <c r="F165" s="61"/>
      <c r="G165" s="61"/>
      <c r="H165" s="61"/>
      <c r="I165" s="61"/>
    </row>
    <row r="166" spans="1:9" ht="15" customHeight="1" x14ac:dyDescent="0.25">
      <c r="A166" s="194"/>
      <c r="B166" s="195"/>
      <c r="C166" s="195"/>
      <c r="D166" s="195"/>
      <c r="E166" s="195"/>
      <c r="F166" s="195"/>
      <c r="G166" s="195"/>
      <c r="H166" s="195"/>
      <c r="I166" s="195"/>
    </row>
    <row r="167" spans="1:9" ht="15" customHeight="1" x14ac:dyDescent="0.25">
      <c r="A167" s="193"/>
      <c r="B167" s="61"/>
      <c r="C167" s="61"/>
      <c r="D167" s="61"/>
      <c r="E167" s="61"/>
      <c r="F167" s="61"/>
      <c r="G167" s="61"/>
      <c r="H167" s="61"/>
      <c r="I167" s="61"/>
    </row>
    <row r="168" spans="1:9" ht="15" customHeight="1" x14ac:dyDescent="0.25">
      <c r="A168" s="194"/>
      <c r="B168" s="195"/>
      <c r="C168" s="195"/>
      <c r="D168" s="195"/>
      <c r="E168" s="195"/>
      <c r="F168" s="195"/>
      <c r="G168" s="195"/>
      <c r="H168" s="195"/>
      <c r="I168" s="195"/>
    </row>
    <row r="169" spans="1:9" ht="15" customHeight="1" x14ac:dyDescent="0.25">
      <c r="A169" s="193"/>
      <c r="B169" s="61"/>
      <c r="C169" s="61"/>
      <c r="D169" s="61"/>
      <c r="E169" s="61"/>
      <c r="F169" s="61"/>
      <c r="G169" s="61"/>
      <c r="H169" s="61"/>
      <c r="I169" s="61"/>
    </row>
    <row r="170" spans="1:9" ht="15" customHeight="1" x14ac:dyDescent="0.25">
      <c r="A170" s="194"/>
      <c r="B170" s="195"/>
      <c r="C170" s="195"/>
      <c r="D170" s="195"/>
      <c r="E170" s="195"/>
      <c r="F170" s="195"/>
      <c r="G170" s="195"/>
      <c r="H170" s="195"/>
      <c r="I170" s="195"/>
    </row>
    <row r="171" spans="1:9" ht="15" customHeight="1" x14ac:dyDescent="0.25">
      <c r="A171" s="193"/>
      <c r="B171" s="61"/>
      <c r="C171" s="61"/>
      <c r="D171" s="61"/>
      <c r="E171" s="61"/>
      <c r="F171" s="61"/>
      <c r="G171" s="61"/>
      <c r="H171" s="61"/>
      <c r="I171" s="61"/>
    </row>
    <row r="172" spans="1:9" ht="15" customHeight="1" x14ac:dyDescent="0.25">
      <c r="A172" s="194"/>
      <c r="B172" s="195"/>
      <c r="C172" s="195"/>
      <c r="D172" s="195"/>
      <c r="E172" s="195"/>
      <c r="F172" s="195"/>
      <c r="G172" s="195"/>
      <c r="H172" s="195"/>
      <c r="I172" s="195"/>
    </row>
    <row r="173" spans="1:9" ht="15" customHeight="1" x14ac:dyDescent="0.25">
      <c r="A173" s="193"/>
      <c r="B173" s="61"/>
      <c r="C173" s="61"/>
      <c r="D173" s="61"/>
      <c r="E173" s="61"/>
      <c r="F173" s="61"/>
      <c r="G173" s="61"/>
      <c r="H173" s="61"/>
      <c r="I173" s="61"/>
    </row>
    <row r="174" spans="1:9" ht="15" customHeight="1" x14ac:dyDescent="0.25">
      <c r="A174" s="194"/>
      <c r="B174" s="195"/>
      <c r="C174" s="195"/>
      <c r="D174" s="195"/>
      <c r="E174" s="195"/>
      <c r="F174" s="195"/>
      <c r="G174" s="195"/>
      <c r="H174" s="195"/>
      <c r="I174" s="195"/>
    </row>
    <row r="175" spans="1:9" ht="15" customHeight="1" x14ac:dyDescent="0.25">
      <c r="A175" s="193"/>
      <c r="B175" s="61"/>
      <c r="C175" s="61"/>
      <c r="D175" s="61"/>
      <c r="E175" s="61"/>
      <c r="F175" s="61"/>
      <c r="G175" s="61"/>
      <c r="H175" s="61"/>
      <c r="I175" s="61"/>
    </row>
    <row r="176" spans="1:9" ht="15" customHeight="1" x14ac:dyDescent="0.25">
      <c r="A176" s="194"/>
      <c r="B176" s="195"/>
      <c r="C176" s="195"/>
      <c r="D176" s="195"/>
      <c r="E176" s="195"/>
      <c r="F176" s="195"/>
      <c r="G176" s="195"/>
      <c r="H176" s="195"/>
      <c r="I176" s="195"/>
    </row>
    <row r="177" spans="1:9" ht="15" customHeight="1" x14ac:dyDescent="0.25">
      <c r="A177" s="193"/>
      <c r="B177" s="61"/>
      <c r="C177" s="61"/>
      <c r="D177" s="61"/>
      <c r="E177" s="61"/>
      <c r="F177" s="61"/>
      <c r="G177" s="61"/>
      <c r="H177" s="61"/>
      <c r="I177" s="61"/>
    </row>
    <row r="178" spans="1:9" ht="15" customHeight="1" x14ac:dyDescent="0.25">
      <c r="A178" s="194"/>
      <c r="B178" s="195"/>
      <c r="C178" s="195"/>
      <c r="D178" s="195"/>
      <c r="E178" s="195"/>
      <c r="F178" s="195"/>
      <c r="G178" s="195"/>
      <c r="H178" s="195"/>
      <c r="I178" s="195"/>
    </row>
    <row r="179" spans="1:9" ht="15" customHeight="1" x14ac:dyDescent="0.25">
      <c r="A179" s="193"/>
      <c r="B179" s="61"/>
      <c r="C179" s="61"/>
      <c r="D179" s="61"/>
      <c r="E179" s="61"/>
      <c r="F179" s="61"/>
      <c r="G179" s="61"/>
      <c r="H179" s="61"/>
      <c r="I179" s="61"/>
    </row>
    <row r="180" spans="1:9" ht="15" customHeight="1" x14ac:dyDescent="0.25">
      <c r="A180" s="194"/>
      <c r="B180" s="195"/>
      <c r="C180" s="195"/>
      <c r="D180" s="195"/>
      <c r="E180" s="195"/>
      <c r="F180" s="195"/>
      <c r="G180" s="195"/>
      <c r="H180" s="195"/>
      <c r="I180" s="195"/>
    </row>
    <row r="181" spans="1:9" ht="15" customHeight="1" x14ac:dyDescent="0.25">
      <c r="A181" s="193"/>
      <c r="B181" s="61"/>
      <c r="C181" s="61"/>
      <c r="D181" s="61"/>
      <c r="E181" s="61"/>
      <c r="F181" s="61"/>
      <c r="G181" s="61"/>
      <c r="H181" s="61"/>
      <c r="I181" s="61"/>
    </row>
    <row r="182" spans="1:9" ht="15" customHeight="1" x14ac:dyDescent="0.25">
      <c r="A182" s="194"/>
      <c r="B182" s="195"/>
      <c r="C182" s="195"/>
      <c r="D182" s="195"/>
      <c r="E182" s="195"/>
      <c r="F182" s="195"/>
      <c r="G182" s="195"/>
      <c r="H182" s="195"/>
      <c r="I182" s="195"/>
    </row>
    <row r="183" spans="1:9" ht="15" customHeight="1" x14ac:dyDescent="0.25">
      <c r="A183" s="193"/>
      <c r="B183" s="61"/>
      <c r="C183" s="61"/>
      <c r="D183" s="61"/>
      <c r="E183" s="61"/>
      <c r="F183" s="61"/>
      <c r="G183" s="61"/>
      <c r="H183" s="61"/>
      <c r="I183" s="61"/>
    </row>
    <row r="184" spans="1:9" ht="15" customHeight="1" x14ac:dyDescent="0.25">
      <c r="A184" s="194"/>
      <c r="B184" s="195"/>
      <c r="C184" s="195"/>
      <c r="D184" s="195"/>
      <c r="E184" s="195"/>
      <c r="F184" s="195"/>
      <c r="G184" s="195"/>
      <c r="H184" s="195"/>
      <c r="I184" s="195"/>
    </row>
    <row r="185" spans="1:9" ht="15" customHeight="1" x14ac:dyDescent="0.25">
      <c r="A185" s="193"/>
      <c r="B185" s="61"/>
      <c r="C185" s="61"/>
      <c r="D185" s="61"/>
      <c r="E185" s="61"/>
      <c r="F185" s="61"/>
      <c r="G185" s="61"/>
      <c r="H185" s="61"/>
      <c r="I185" s="61"/>
    </row>
    <row r="186" spans="1:9" ht="15" customHeight="1" x14ac:dyDescent="0.25">
      <c r="A186" s="194"/>
      <c r="B186" s="195"/>
      <c r="C186" s="195"/>
      <c r="D186" s="195"/>
      <c r="E186" s="195"/>
      <c r="F186" s="195"/>
      <c r="G186" s="195"/>
      <c r="H186" s="195"/>
      <c r="I186" s="195"/>
    </row>
    <row r="187" spans="1:9" ht="15" customHeight="1" x14ac:dyDescent="0.25">
      <c r="A187" s="193"/>
      <c r="B187" s="61"/>
      <c r="C187" s="61"/>
      <c r="D187" s="61"/>
      <c r="E187" s="61"/>
      <c r="F187" s="61"/>
      <c r="G187" s="61"/>
      <c r="H187" s="61"/>
      <c r="I187" s="61"/>
    </row>
    <row r="188" spans="1:9" ht="15" customHeight="1" x14ac:dyDescent="0.25">
      <c r="A188" s="194"/>
      <c r="B188" s="195"/>
      <c r="C188" s="195"/>
      <c r="D188" s="195"/>
      <c r="E188" s="195"/>
      <c r="F188" s="195"/>
      <c r="G188" s="195"/>
      <c r="H188" s="195"/>
      <c r="I188" s="195"/>
    </row>
    <row r="189" spans="1:9" ht="15" customHeight="1" x14ac:dyDescent="0.25">
      <c r="A189" s="193"/>
      <c r="B189" s="61"/>
      <c r="C189" s="61"/>
      <c r="D189" s="61"/>
      <c r="E189" s="61"/>
      <c r="F189" s="61"/>
      <c r="G189" s="61"/>
      <c r="H189" s="61"/>
      <c r="I189" s="61"/>
    </row>
    <row r="190" spans="1:9" ht="15" customHeight="1" x14ac:dyDescent="0.25">
      <c r="A190" s="194"/>
      <c r="B190" s="195"/>
      <c r="C190" s="195"/>
      <c r="D190" s="195"/>
      <c r="E190" s="195"/>
      <c r="F190" s="195"/>
      <c r="G190" s="195"/>
      <c r="H190" s="195"/>
      <c r="I190" s="195"/>
    </row>
    <row r="191" spans="1:9" ht="15" customHeight="1" x14ac:dyDescent="0.25">
      <c r="A191" s="193"/>
      <c r="B191" s="61"/>
      <c r="C191" s="61"/>
      <c r="D191" s="61"/>
      <c r="E191" s="61"/>
      <c r="F191" s="61"/>
      <c r="G191" s="61"/>
      <c r="H191" s="61"/>
      <c r="I191" s="61"/>
    </row>
    <row r="192" spans="1:9" ht="15" customHeight="1" x14ac:dyDescent="0.25">
      <c r="A192" s="194"/>
      <c r="B192" s="195"/>
      <c r="C192" s="195"/>
      <c r="D192" s="195"/>
      <c r="E192" s="195"/>
      <c r="F192" s="195"/>
      <c r="G192" s="195"/>
      <c r="H192" s="195"/>
      <c r="I192" s="195"/>
    </row>
    <row r="193" spans="1:9" ht="15" customHeight="1" x14ac:dyDescent="0.25">
      <c r="A193" s="193"/>
      <c r="B193" s="61"/>
      <c r="C193" s="61"/>
      <c r="D193" s="61"/>
      <c r="E193" s="61"/>
      <c r="F193" s="61"/>
      <c r="G193" s="61"/>
      <c r="H193" s="61"/>
      <c r="I193" s="61"/>
    </row>
    <row r="194" spans="1:9" ht="15" customHeight="1" x14ac:dyDescent="0.25">
      <c r="A194" s="194"/>
      <c r="B194" s="195"/>
      <c r="C194" s="195"/>
      <c r="D194" s="195"/>
      <c r="E194" s="195"/>
      <c r="F194" s="195"/>
      <c r="G194" s="195"/>
      <c r="H194" s="195"/>
      <c r="I194" s="195"/>
    </row>
    <row r="195" spans="1:9" ht="15" customHeight="1" x14ac:dyDescent="0.25">
      <c r="A195" s="193"/>
      <c r="B195" s="61"/>
      <c r="C195" s="61"/>
      <c r="D195" s="61"/>
      <c r="E195" s="61"/>
      <c r="F195" s="61"/>
      <c r="G195" s="61"/>
      <c r="H195" s="61"/>
      <c r="I195" s="61"/>
    </row>
    <row r="196" spans="1:9" ht="15" customHeight="1" x14ac:dyDescent="0.25">
      <c r="A196" s="194"/>
      <c r="B196" s="195"/>
      <c r="C196" s="195"/>
      <c r="D196" s="195"/>
      <c r="E196" s="195"/>
      <c r="F196" s="195"/>
      <c r="G196" s="195"/>
      <c r="H196" s="195"/>
      <c r="I196" s="195"/>
    </row>
    <row r="197" spans="1:9" ht="15" customHeight="1" x14ac:dyDescent="0.25">
      <c r="A197" s="193"/>
      <c r="B197" s="61"/>
      <c r="C197" s="61"/>
      <c r="D197" s="61"/>
      <c r="E197" s="61"/>
      <c r="F197" s="61"/>
      <c r="G197" s="61"/>
      <c r="H197" s="61"/>
      <c r="I197" s="61"/>
    </row>
    <row r="198" spans="1:9" ht="15" customHeight="1" x14ac:dyDescent="0.25">
      <c r="A198" s="194"/>
      <c r="B198" s="195"/>
      <c r="C198" s="195"/>
      <c r="D198" s="195"/>
      <c r="E198" s="195"/>
      <c r="F198" s="195"/>
      <c r="G198" s="195"/>
      <c r="H198" s="195"/>
      <c r="I198" s="195"/>
    </row>
    <row r="199" spans="1:9" ht="15" customHeight="1" x14ac:dyDescent="0.25">
      <c r="A199" s="193"/>
      <c r="B199" s="61"/>
      <c r="C199" s="61"/>
      <c r="D199" s="61"/>
      <c r="E199" s="61"/>
      <c r="F199" s="61"/>
      <c r="G199" s="61"/>
      <c r="H199" s="61"/>
      <c r="I199" s="61"/>
    </row>
    <row r="200" spans="1:9" ht="15" customHeight="1" x14ac:dyDescent="0.25">
      <c r="A200" s="194"/>
      <c r="B200" s="195"/>
      <c r="C200" s="195"/>
      <c r="D200" s="195"/>
      <c r="E200" s="195"/>
      <c r="F200" s="195"/>
      <c r="G200" s="195"/>
      <c r="H200" s="195"/>
      <c r="I200" s="195"/>
    </row>
    <row r="201" spans="1:9" ht="15" customHeight="1" x14ac:dyDescent="0.25">
      <c r="A201" s="193"/>
      <c r="B201" s="61"/>
      <c r="C201" s="61"/>
      <c r="D201" s="61"/>
      <c r="E201" s="61"/>
      <c r="F201" s="61"/>
      <c r="G201" s="61"/>
      <c r="H201" s="61"/>
      <c r="I201" s="61"/>
    </row>
    <row r="202" spans="1:9" ht="15" customHeight="1" x14ac:dyDescent="0.25">
      <c r="A202" s="194"/>
      <c r="B202" s="195"/>
      <c r="C202" s="195"/>
      <c r="D202" s="195"/>
      <c r="E202" s="195"/>
      <c r="F202" s="195"/>
      <c r="G202" s="195"/>
      <c r="H202" s="195"/>
      <c r="I202" s="195"/>
    </row>
    <row r="203" spans="1:9" ht="15" customHeight="1" x14ac:dyDescent="0.25">
      <c r="A203" s="193"/>
      <c r="B203" s="61"/>
      <c r="C203" s="61"/>
      <c r="D203" s="61"/>
      <c r="E203" s="61"/>
      <c r="F203" s="61"/>
      <c r="G203" s="61"/>
      <c r="H203" s="61"/>
      <c r="I203" s="61"/>
    </row>
    <row r="204" spans="1:9" ht="15" customHeight="1" x14ac:dyDescent="0.25">
      <c r="A204" s="194"/>
      <c r="B204" s="195"/>
      <c r="C204" s="195"/>
      <c r="D204" s="195"/>
      <c r="E204" s="195"/>
      <c r="F204" s="195"/>
      <c r="G204" s="195"/>
      <c r="H204" s="195"/>
      <c r="I204" s="195"/>
    </row>
    <row r="205" spans="1:9" ht="15" customHeight="1" x14ac:dyDescent="0.25">
      <c r="A205" s="193"/>
      <c r="B205" s="61"/>
      <c r="C205" s="61"/>
      <c r="D205" s="61"/>
      <c r="E205" s="61"/>
      <c r="F205" s="61"/>
      <c r="G205" s="61"/>
      <c r="H205" s="61"/>
      <c r="I205" s="61"/>
    </row>
    <row r="206" spans="1:9" ht="15" customHeight="1" x14ac:dyDescent="0.25">
      <c r="A206" s="194"/>
      <c r="B206" s="195"/>
      <c r="C206" s="195"/>
      <c r="D206" s="195"/>
      <c r="E206" s="195"/>
      <c r="F206" s="195"/>
      <c r="G206" s="195"/>
      <c r="H206" s="195"/>
      <c r="I206" s="195"/>
    </row>
    <row r="207" spans="1:9" ht="15" customHeight="1" x14ac:dyDescent="0.25">
      <c r="A207" s="193"/>
      <c r="B207" s="61"/>
      <c r="C207" s="61"/>
      <c r="D207" s="61"/>
      <c r="E207" s="61"/>
      <c r="F207" s="61"/>
      <c r="G207" s="61"/>
      <c r="H207" s="61"/>
      <c r="I207" s="61"/>
    </row>
    <row r="208" spans="1:9" ht="15" customHeight="1" x14ac:dyDescent="0.25">
      <c r="A208" s="194"/>
      <c r="B208" s="195"/>
      <c r="C208" s="195"/>
      <c r="D208" s="195"/>
      <c r="E208" s="195"/>
      <c r="F208" s="195"/>
      <c r="G208" s="195"/>
      <c r="H208" s="195"/>
      <c r="I208" s="195"/>
    </row>
    <row r="209" spans="1:9" ht="15" customHeight="1" x14ac:dyDescent="0.25">
      <c r="A209" s="193"/>
      <c r="B209" s="61"/>
      <c r="C209" s="61"/>
      <c r="D209" s="61"/>
      <c r="E209" s="61"/>
      <c r="F209" s="61"/>
      <c r="G209" s="61"/>
      <c r="H209" s="61"/>
      <c r="I209" s="61"/>
    </row>
    <row r="210" spans="1:9" ht="15" customHeight="1" x14ac:dyDescent="0.25">
      <c r="A210" s="194"/>
      <c r="B210" s="195"/>
      <c r="C210" s="195"/>
      <c r="D210" s="195"/>
      <c r="E210" s="195"/>
      <c r="F210" s="195"/>
      <c r="G210" s="195"/>
      <c r="H210" s="195"/>
      <c r="I210" s="195"/>
    </row>
    <row r="211" spans="1:9" ht="15" customHeight="1" x14ac:dyDescent="0.25">
      <c r="A211" s="193"/>
      <c r="B211" s="61"/>
      <c r="C211" s="61"/>
      <c r="D211" s="61"/>
      <c r="E211" s="61"/>
      <c r="F211" s="61"/>
      <c r="G211" s="61"/>
      <c r="H211" s="61"/>
      <c r="I211" s="61"/>
    </row>
    <row r="212" spans="1:9" ht="15" customHeight="1" x14ac:dyDescent="0.25">
      <c r="A212" s="194"/>
      <c r="B212" s="195"/>
      <c r="C212" s="195"/>
      <c r="D212" s="195"/>
      <c r="E212" s="195"/>
      <c r="F212" s="195"/>
      <c r="G212" s="195"/>
      <c r="H212" s="195"/>
      <c r="I212" s="195"/>
    </row>
    <row r="213" spans="1:9" ht="15" customHeight="1" x14ac:dyDescent="0.25">
      <c r="A213" s="193"/>
      <c r="B213" s="61"/>
      <c r="C213" s="61"/>
      <c r="D213" s="61"/>
      <c r="E213" s="61"/>
      <c r="F213" s="61"/>
      <c r="G213" s="61"/>
      <c r="H213" s="61"/>
      <c r="I213" s="61"/>
    </row>
    <row r="214" spans="1:9" ht="15" customHeight="1" x14ac:dyDescent="0.25">
      <c r="A214" s="194"/>
      <c r="B214" s="195"/>
      <c r="C214" s="195"/>
      <c r="D214" s="195"/>
      <c r="E214" s="195"/>
      <c r="F214" s="195"/>
      <c r="G214" s="195"/>
      <c r="H214" s="195"/>
      <c r="I214" s="195"/>
    </row>
    <row r="215" spans="1:9" ht="15" customHeight="1" x14ac:dyDescent="0.25">
      <c r="A215" s="193"/>
      <c r="B215" s="61"/>
      <c r="C215" s="61"/>
      <c r="D215" s="61"/>
      <c r="E215" s="61"/>
      <c r="F215" s="61"/>
      <c r="G215" s="61"/>
      <c r="H215" s="61"/>
      <c r="I215" s="61"/>
    </row>
    <row r="216" spans="1:9" ht="15" customHeight="1" x14ac:dyDescent="0.25">
      <c r="A216" s="194"/>
      <c r="B216" s="195"/>
      <c r="C216" s="195"/>
      <c r="D216" s="195"/>
      <c r="E216" s="195"/>
      <c r="F216" s="195"/>
      <c r="G216" s="195"/>
      <c r="H216" s="195"/>
      <c r="I216" s="195"/>
    </row>
    <row r="217" spans="1:9" ht="15" customHeight="1" x14ac:dyDescent="0.25">
      <c r="A217" s="193"/>
      <c r="B217" s="61"/>
      <c r="C217" s="61"/>
      <c r="D217" s="61"/>
      <c r="E217" s="61"/>
      <c r="F217" s="61"/>
      <c r="G217" s="61"/>
      <c r="H217" s="61"/>
      <c r="I217" s="61"/>
    </row>
    <row r="218" spans="1:9" ht="15" customHeight="1" x14ac:dyDescent="0.25">
      <c r="A218" s="194"/>
      <c r="B218" s="195"/>
      <c r="C218" s="195"/>
      <c r="D218" s="195"/>
      <c r="E218" s="195"/>
      <c r="F218" s="195"/>
      <c r="G218" s="195"/>
      <c r="H218" s="195"/>
      <c r="I218" s="195"/>
    </row>
    <row r="219" spans="1:9" ht="15" customHeight="1" x14ac:dyDescent="0.25">
      <c r="A219" s="193"/>
      <c r="B219" s="61"/>
      <c r="C219" s="61"/>
      <c r="D219" s="61"/>
      <c r="E219" s="61"/>
      <c r="F219" s="61"/>
      <c r="G219" s="61"/>
      <c r="H219" s="61"/>
      <c r="I219" s="61"/>
    </row>
    <row r="220" spans="1:9" ht="15" customHeight="1" x14ac:dyDescent="0.25">
      <c r="A220" s="194"/>
      <c r="B220" s="195"/>
      <c r="C220" s="195"/>
      <c r="D220" s="195"/>
      <c r="E220" s="195"/>
      <c r="F220" s="195"/>
      <c r="G220" s="195"/>
      <c r="H220" s="195"/>
      <c r="I220" s="195"/>
    </row>
    <row r="221" spans="1:9" ht="15" customHeight="1" x14ac:dyDescent="0.25">
      <c r="A221" s="193"/>
      <c r="B221" s="61"/>
      <c r="C221" s="61"/>
      <c r="D221" s="61"/>
      <c r="E221" s="61"/>
      <c r="F221" s="61"/>
      <c r="G221" s="61"/>
      <c r="H221" s="61"/>
      <c r="I221" s="61"/>
    </row>
    <row r="222" spans="1:9" ht="15" customHeight="1" x14ac:dyDescent="0.25">
      <c r="A222" s="194"/>
      <c r="B222" s="195"/>
      <c r="C222" s="195"/>
      <c r="D222" s="195"/>
      <c r="E222" s="195"/>
      <c r="F222" s="195"/>
      <c r="G222" s="195"/>
      <c r="H222" s="195"/>
      <c r="I222" s="195"/>
    </row>
    <row r="223" spans="1:9" ht="15" customHeight="1" x14ac:dyDescent="0.25">
      <c r="A223" s="193"/>
      <c r="B223" s="61"/>
      <c r="C223" s="61"/>
      <c r="D223" s="61"/>
      <c r="E223" s="61"/>
      <c r="F223" s="61"/>
      <c r="G223" s="61"/>
      <c r="H223" s="61"/>
      <c r="I223" s="61"/>
    </row>
    <row r="224" spans="1:9" ht="15" customHeight="1" x14ac:dyDescent="0.25">
      <c r="A224" s="194"/>
      <c r="B224" s="195"/>
      <c r="C224" s="195"/>
      <c r="D224" s="195"/>
      <c r="E224" s="195"/>
      <c r="F224" s="195"/>
      <c r="G224" s="195"/>
      <c r="H224" s="195"/>
      <c r="I224" s="195"/>
    </row>
    <row r="225" spans="1:9" ht="15" customHeight="1" x14ac:dyDescent="0.25">
      <c r="A225" s="193"/>
      <c r="B225" s="61"/>
      <c r="C225" s="61"/>
      <c r="D225" s="61"/>
      <c r="E225" s="61"/>
      <c r="F225" s="61"/>
      <c r="G225" s="61"/>
      <c r="H225" s="61"/>
      <c r="I225" s="61"/>
    </row>
    <row r="226" spans="1:9" ht="15" customHeight="1" x14ac:dyDescent="0.25">
      <c r="A226" s="194"/>
      <c r="B226" s="195"/>
      <c r="C226" s="195"/>
      <c r="D226" s="195"/>
      <c r="E226" s="195"/>
      <c r="F226" s="195"/>
      <c r="G226" s="195"/>
      <c r="H226" s="195"/>
      <c r="I226" s="195"/>
    </row>
    <row r="227" spans="1:9" ht="15" customHeight="1" x14ac:dyDescent="0.25">
      <c r="A227" s="193"/>
      <c r="B227" s="61"/>
      <c r="C227" s="61"/>
      <c r="D227" s="61"/>
      <c r="E227" s="61"/>
      <c r="F227" s="61"/>
      <c r="G227" s="61"/>
      <c r="H227" s="61"/>
      <c r="I227" s="61"/>
    </row>
    <row r="228" spans="1:9" ht="15" customHeight="1" x14ac:dyDescent="0.25">
      <c r="A228" s="194"/>
      <c r="B228" s="195"/>
      <c r="C228" s="195"/>
      <c r="D228" s="195"/>
      <c r="E228" s="195"/>
      <c r="F228" s="195"/>
      <c r="G228" s="195"/>
      <c r="H228" s="195"/>
      <c r="I228" s="195"/>
    </row>
    <row r="229" spans="1:9" ht="15" customHeight="1" x14ac:dyDescent="0.25">
      <c r="A229" s="193"/>
      <c r="B229" s="61"/>
      <c r="C229" s="61"/>
      <c r="D229" s="61"/>
      <c r="E229" s="61"/>
      <c r="F229" s="61"/>
      <c r="G229" s="61"/>
      <c r="H229" s="61"/>
      <c r="I229" s="61"/>
    </row>
    <row r="230" spans="1:9" ht="15" customHeight="1" x14ac:dyDescent="0.25">
      <c r="A230" s="194"/>
      <c r="B230" s="195"/>
      <c r="C230" s="195"/>
      <c r="D230" s="195"/>
      <c r="E230" s="195"/>
      <c r="F230" s="195"/>
      <c r="G230" s="195"/>
      <c r="H230" s="195"/>
      <c r="I230" s="195"/>
    </row>
    <row r="231" spans="1:9" ht="15" customHeight="1" x14ac:dyDescent="0.25">
      <c r="A231" s="193"/>
      <c r="B231" s="61"/>
      <c r="C231" s="61"/>
      <c r="D231" s="61"/>
      <c r="E231" s="61"/>
      <c r="F231" s="61"/>
      <c r="G231" s="61"/>
      <c r="H231" s="61"/>
      <c r="I231" s="61"/>
    </row>
    <row r="232" spans="1:9" ht="15" customHeight="1" x14ac:dyDescent="0.25">
      <c r="A232" s="194"/>
      <c r="B232" s="195"/>
      <c r="C232" s="195"/>
      <c r="D232" s="195"/>
      <c r="E232" s="195"/>
      <c r="F232" s="195"/>
      <c r="G232" s="195"/>
      <c r="H232" s="195"/>
      <c r="I232" s="195"/>
    </row>
    <row r="233" spans="1:9" ht="15" customHeight="1" x14ac:dyDescent="0.25">
      <c r="A233" s="193"/>
      <c r="B233" s="61"/>
      <c r="C233" s="61"/>
      <c r="D233" s="61"/>
      <c r="E233" s="61"/>
      <c r="F233" s="61"/>
      <c r="G233" s="61"/>
      <c r="H233" s="61"/>
      <c r="I233" s="61"/>
    </row>
    <row r="234" spans="1:9" ht="15" customHeight="1" x14ac:dyDescent="0.25">
      <c r="A234" s="194"/>
      <c r="B234" s="195"/>
      <c r="C234" s="195"/>
      <c r="D234" s="195"/>
      <c r="E234" s="195"/>
      <c r="F234" s="195"/>
      <c r="G234" s="195"/>
      <c r="H234" s="195"/>
      <c r="I234" s="195"/>
    </row>
    <row r="235" spans="1:9" ht="15" customHeight="1" x14ac:dyDescent="0.25">
      <c r="A235" s="193"/>
      <c r="B235" s="61"/>
      <c r="C235" s="61"/>
      <c r="D235" s="61"/>
      <c r="E235" s="61"/>
      <c r="F235" s="61"/>
      <c r="G235" s="61"/>
      <c r="H235" s="61"/>
      <c r="I235" s="61"/>
    </row>
    <row r="236" spans="1:9" ht="15" customHeight="1" x14ac:dyDescent="0.25">
      <c r="A236" s="194"/>
      <c r="B236" s="195"/>
      <c r="C236" s="195"/>
      <c r="D236" s="195"/>
      <c r="E236" s="195"/>
      <c r="F236" s="195"/>
      <c r="G236" s="195"/>
      <c r="H236" s="195"/>
      <c r="I236" s="195"/>
    </row>
    <row r="237" spans="1:9" ht="15" customHeight="1" x14ac:dyDescent="0.25">
      <c r="A237" s="193"/>
      <c r="B237" s="61"/>
      <c r="C237" s="61"/>
      <c r="D237" s="61"/>
      <c r="E237" s="61"/>
      <c r="F237" s="61"/>
      <c r="G237" s="61"/>
      <c r="H237" s="61"/>
      <c r="I237" s="61"/>
    </row>
    <row r="238" spans="1:9" ht="15" customHeight="1" x14ac:dyDescent="0.25">
      <c r="A238" s="194"/>
      <c r="B238" s="195"/>
      <c r="C238" s="195"/>
      <c r="D238" s="195"/>
      <c r="E238" s="195"/>
      <c r="F238" s="195"/>
      <c r="G238" s="195"/>
      <c r="H238" s="195"/>
      <c r="I238" s="195"/>
    </row>
    <row r="239" spans="1:9" ht="15" customHeight="1" x14ac:dyDescent="0.25">
      <c r="A239" s="193"/>
      <c r="B239" s="61"/>
      <c r="C239" s="61"/>
      <c r="D239" s="61"/>
      <c r="E239" s="61"/>
      <c r="F239" s="61"/>
      <c r="G239" s="61"/>
      <c r="H239" s="61"/>
      <c r="I239" s="61"/>
    </row>
    <row r="240" spans="1:9" ht="15" customHeight="1" x14ac:dyDescent="0.25">
      <c r="A240" s="194"/>
      <c r="B240" s="195"/>
      <c r="C240" s="195"/>
      <c r="D240" s="195"/>
      <c r="E240" s="195"/>
      <c r="F240" s="195"/>
      <c r="G240" s="195"/>
      <c r="H240" s="195"/>
      <c r="I240" s="195"/>
    </row>
    <row r="241" spans="1:9" ht="15" customHeight="1" x14ac:dyDescent="0.25">
      <c r="A241" s="193"/>
      <c r="B241" s="61"/>
      <c r="C241" s="61"/>
      <c r="D241" s="61"/>
      <c r="E241" s="61"/>
      <c r="F241" s="61"/>
      <c r="G241" s="61"/>
      <c r="H241" s="61"/>
      <c r="I241" s="61"/>
    </row>
    <row r="242" spans="1:9" ht="15" customHeight="1" x14ac:dyDescent="0.25">
      <c r="A242" s="194"/>
      <c r="B242" s="195"/>
      <c r="C242" s="195"/>
      <c r="D242" s="195"/>
      <c r="E242" s="195"/>
      <c r="F242" s="195"/>
      <c r="G242" s="195"/>
      <c r="H242" s="195"/>
      <c r="I242" s="195"/>
    </row>
    <row r="243" spans="1:9" ht="15" customHeight="1" x14ac:dyDescent="0.25">
      <c r="A243" s="193"/>
      <c r="B243" s="61"/>
      <c r="C243" s="61"/>
      <c r="D243" s="61"/>
      <c r="E243" s="61"/>
      <c r="F243" s="61"/>
      <c r="G243" s="61"/>
      <c r="H243" s="61"/>
      <c r="I243" s="61"/>
    </row>
    <row r="244" spans="1:9" ht="15" customHeight="1" x14ac:dyDescent="0.25">
      <c r="A244" s="194"/>
      <c r="B244" s="195"/>
      <c r="C244" s="195"/>
      <c r="D244" s="195"/>
      <c r="E244" s="195"/>
      <c r="F244" s="195"/>
      <c r="G244" s="195"/>
      <c r="H244" s="195"/>
      <c r="I244" s="195"/>
    </row>
    <row r="245" spans="1:9" ht="15" customHeight="1" x14ac:dyDescent="0.25">
      <c r="A245" s="193"/>
      <c r="B245" s="61"/>
      <c r="C245" s="61"/>
      <c r="D245" s="61"/>
      <c r="E245" s="61"/>
      <c r="F245" s="61"/>
      <c r="G245" s="61"/>
      <c r="H245" s="61"/>
      <c r="I245" s="61"/>
    </row>
    <row r="246" spans="1:9" ht="15" customHeight="1" x14ac:dyDescent="0.25">
      <c r="A246" s="194"/>
      <c r="B246" s="195"/>
      <c r="C246" s="195"/>
      <c r="D246" s="195"/>
      <c r="E246" s="195"/>
      <c r="F246" s="195"/>
      <c r="G246" s="195"/>
      <c r="H246" s="195"/>
      <c r="I246" s="195"/>
    </row>
    <row r="247" spans="1:9" ht="15" customHeight="1" x14ac:dyDescent="0.25">
      <c r="A247" s="193"/>
      <c r="B247" s="61"/>
      <c r="C247" s="61"/>
      <c r="D247" s="61"/>
      <c r="E247" s="61"/>
      <c r="F247" s="61"/>
      <c r="G247" s="61"/>
      <c r="H247" s="61"/>
      <c r="I247" s="61"/>
    </row>
    <row r="248" spans="1:9" ht="15" customHeight="1" x14ac:dyDescent="0.25">
      <c r="A248" s="194"/>
      <c r="B248" s="195"/>
      <c r="C248" s="195"/>
      <c r="D248" s="195"/>
      <c r="E248" s="195"/>
      <c r="F248" s="195"/>
      <c r="G248" s="195"/>
      <c r="H248" s="195"/>
      <c r="I248" s="195"/>
    </row>
    <row r="249" spans="1:9" ht="15" customHeight="1" x14ac:dyDescent="0.25">
      <c r="A249" s="193"/>
      <c r="B249" s="61"/>
      <c r="C249" s="61"/>
      <c r="D249" s="61"/>
      <c r="E249" s="61"/>
      <c r="F249" s="61"/>
      <c r="G249" s="61"/>
      <c r="H249" s="61"/>
      <c r="I249" s="61"/>
    </row>
    <row r="250" spans="1:9" ht="15" customHeight="1" x14ac:dyDescent="0.25">
      <c r="A250" s="194"/>
      <c r="B250" s="195"/>
      <c r="C250" s="195"/>
      <c r="D250" s="195"/>
      <c r="E250" s="195"/>
      <c r="F250" s="195"/>
      <c r="G250" s="195"/>
      <c r="H250" s="195"/>
      <c r="I250" s="195"/>
    </row>
    <row r="251" spans="1:9" ht="15" customHeight="1" x14ac:dyDescent="0.25">
      <c r="A251" s="193"/>
      <c r="B251" s="61"/>
      <c r="C251" s="61"/>
      <c r="D251" s="61"/>
      <c r="E251" s="61"/>
      <c r="F251" s="61"/>
      <c r="G251" s="61"/>
      <c r="H251" s="61"/>
      <c r="I251" s="61"/>
    </row>
    <row r="252" spans="1:9" ht="15" customHeight="1" x14ac:dyDescent="0.25">
      <c r="A252" s="194"/>
      <c r="B252" s="195"/>
      <c r="C252" s="195"/>
      <c r="D252" s="195"/>
      <c r="E252" s="195"/>
      <c r="F252" s="195"/>
      <c r="G252" s="195"/>
      <c r="H252" s="195"/>
      <c r="I252" s="195"/>
    </row>
    <row r="253" spans="1:9" ht="15" customHeight="1" x14ac:dyDescent="0.25">
      <c r="A253" s="193"/>
      <c r="B253" s="61"/>
      <c r="C253" s="61"/>
      <c r="D253" s="61"/>
      <c r="E253" s="61"/>
      <c r="F253" s="61"/>
      <c r="G253" s="61"/>
      <c r="H253" s="61"/>
      <c r="I253" s="61"/>
    </row>
    <row r="254" spans="1:9" ht="15" customHeight="1" x14ac:dyDescent="0.25">
      <c r="A254" s="194"/>
      <c r="B254" s="195"/>
      <c r="C254" s="195"/>
      <c r="D254" s="195"/>
      <c r="E254" s="195"/>
      <c r="F254" s="195"/>
      <c r="G254" s="195"/>
      <c r="H254" s="195"/>
      <c r="I254" s="195"/>
    </row>
    <row r="255" spans="1:9" ht="15" customHeight="1" x14ac:dyDescent="0.25">
      <c r="A255" s="193"/>
      <c r="B255" s="61"/>
      <c r="C255" s="61"/>
      <c r="D255" s="61"/>
      <c r="E255" s="61"/>
      <c r="F255" s="61"/>
      <c r="G255" s="61"/>
      <c r="H255" s="61"/>
      <c r="I255" s="61"/>
    </row>
    <row r="256" spans="1:9" ht="15" customHeight="1" x14ac:dyDescent="0.25">
      <c r="A256" s="194"/>
      <c r="B256" s="195"/>
      <c r="C256" s="195"/>
      <c r="D256" s="195"/>
      <c r="E256" s="195"/>
      <c r="F256" s="195"/>
      <c r="G256" s="195"/>
      <c r="H256" s="195"/>
      <c r="I256" s="195"/>
    </row>
    <row r="257" spans="1:9" ht="15" customHeight="1" x14ac:dyDescent="0.25">
      <c r="A257" s="193"/>
      <c r="B257" s="61"/>
      <c r="C257" s="61"/>
      <c r="D257" s="61"/>
      <c r="E257" s="61"/>
      <c r="F257" s="61"/>
      <c r="G257" s="61"/>
      <c r="H257" s="61"/>
      <c r="I257" s="61"/>
    </row>
    <row r="258" spans="1:9" ht="15" customHeight="1" x14ac:dyDescent="0.25">
      <c r="A258" s="194"/>
      <c r="B258" s="195"/>
      <c r="C258" s="195"/>
      <c r="D258" s="195"/>
      <c r="E258" s="195"/>
      <c r="F258" s="195"/>
      <c r="G258" s="195"/>
      <c r="H258" s="195"/>
      <c r="I258" s="195"/>
    </row>
    <row r="259" spans="1:9" ht="15" customHeight="1" x14ac:dyDescent="0.25">
      <c r="A259" s="193"/>
      <c r="B259" s="61"/>
      <c r="C259" s="61"/>
      <c r="D259" s="61"/>
      <c r="E259" s="61"/>
      <c r="F259" s="61"/>
      <c r="G259" s="61"/>
      <c r="H259" s="61"/>
      <c r="I259" s="61"/>
    </row>
    <row r="260" spans="1:9" ht="15" customHeight="1" x14ac:dyDescent="0.25">
      <c r="A260" s="194"/>
      <c r="B260" s="195"/>
      <c r="C260" s="195"/>
      <c r="D260" s="195"/>
      <c r="E260" s="195"/>
      <c r="F260" s="195"/>
      <c r="G260" s="195"/>
      <c r="H260" s="195"/>
      <c r="I260" s="195"/>
    </row>
    <row r="261" spans="1:9" ht="15" customHeight="1" x14ac:dyDescent="0.25">
      <c r="A261" s="193"/>
      <c r="B261" s="61"/>
      <c r="C261" s="61"/>
      <c r="D261" s="61"/>
      <c r="E261" s="61"/>
      <c r="F261" s="61"/>
      <c r="G261" s="61"/>
      <c r="H261" s="61"/>
      <c r="I261" s="61"/>
    </row>
    <row r="262" spans="1:9" ht="15" customHeight="1" x14ac:dyDescent="0.25">
      <c r="A262" s="194"/>
      <c r="B262" s="195"/>
      <c r="C262" s="195"/>
      <c r="D262" s="195"/>
      <c r="E262" s="195"/>
      <c r="F262" s="195"/>
      <c r="G262" s="195"/>
      <c r="H262" s="195"/>
      <c r="I262" s="195"/>
    </row>
    <row r="263" spans="1:9" ht="15" customHeight="1" x14ac:dyDescent="0.25">
      <c r="A263" s="193"/>
      <c r="B263" s="61"/>
      <c r="C263" s="61"/>
      <c r="D263" s="61"/>
      <c r="E263" s="61"/>
      <c r="F263" s="61"/>
      <c r="G263" s="61"/>
      <c r="H263" s="61"/>
      <c r="I263" s="61"/>
    </row>
    <row r="264" spans="1:9" ht="15" customHeight="1" x14ac:dyDescent="0.25">
      <c r="A264" s="194"/>
      <c r="B264" s="195"/>
      <c r="C264" s="195"/>
      <c r="D264" s="195"/>
      <c r="E264" s="195"/>
      <c r="F264" s="195"/>
      <c r="G264" s="195"/>
      <c r="H264" s="195"/>
      <c r="I264" s="195"/>
    </row>
    <row r="265" spans="1:9" ht="15" customHeight="1" x14ac:dyDescent="0.25">
      <c r="A265" s="193"/>
      <c r="B265" s="61"/>
      <c r="C265" s="61"/>
      <c r="D265" s="61"/>
      <c r="E265" s="61"/>
      <c r="F265" s="61"/>
      <c r="G265" s="61"/>
      <c r="H265" s="61"/>
      <c r="I265" s="61"/>
    </row>
    <row r="266" spans="1:9" ht="15" customHeight="1" x14ac:dyDescent="0.25">
      <c r="A266" s="194"/>
      <c r="B266" s="195"/>
      <c r="C266" s="195"/>
      <c r="D266" s="195"/>
      <c r="E266" s="195"/>
      <c r="F266" s="195"/>
      <c r="G266" s="195"/>
      <c r="H266" s="195"/>
      <c r="I266" s="195"/>
    </row>
    <row r="267" spans="1:9" ht="15" customHeight="1" x14ac:dyDescent="0.25">
      <c r="A267" s="193"/>
      <c r="B267" s="61"/>
      <c r="C267" s="61"/>
      <c r="D267" s="61"/>
      <c r="E267" s="61"/>
      <c r="F267" s="61"/>
      <c r="G267" s="61"/>
      <c r="H267" s="61"/>
      <c r="I267" s="61"/>
    </row>
    <row r="268" spans="1:9" ht="15" customHeight="1" x14ac:dyDescent="0.25">
      <c r="A268" s="194"/>
      <c r="B268" s="195"/>
      <c r="C268" s="195"/>
      <c r="D268" s="195"/>
      <c r="E268" s="195"/>
      <c r="F268" s="195"/>
      <c r="G268" s="195"/>
      <c r="H268" s="195"/>
      <c r="I268" s="195"/>
    </row>
    <row r="269" spans="1:9" ht="15" customHeight="1" x14ac:dyDescent="0.25">
      <c r="A269" s="193"/>
      <c r="B269" s="61"/>
      <c r="C269" s="61"/>
      <c r="D269" s="61"/>
      <c r="E269" s="61"/>
      <c r="F269" s="61"/>
      <c r="G269" s="61"/>
      <c r="H269" s="61"/>
      <c r="I269" s="61"/>
    </row>
    <row r="270" spans="1:9" ht="15" customHeight="1" x14ac:dyDescent="0.25">
      <c r="A270" s="194"/>
      <c r="B270" s="195"/>
      <c r="C270" s="195"/>
      <c r="D270" s="195"/>
      <c r="E270" s="195"/>
      <c r="F270" s="195"/>
      <c r="G270" s="195"/>
      <c r="H270" s="195"/>
      <c r="I270" s="195"/>
    </row>
    <row r="271" spans="1:9" ht="15" customHeight="1" x14ac:dyDescent="0.25">
      <c r="A271" s="193"/>
      <c r="B271" s="61"/>
      <c r="C271" s="61"/>
      <c r="D271" s="61"/>
      <c r="E271" s="61"/>
      <c r="F271" s="61"/>
      <c r="G271" s="61"/>
      <c r="H271" s="61"/>
      <c r="I271" s="61"/>
    </row>
    <row r="272" spans="1:9" ht="15" customHeight="1" x14ac:dyDescent="0.25">
      <c r="A272" s="194"/>
      <c r="B272" s="195"/>
      <c r="C272" s="195"/>
      <c r="D272" s="195"/>
      <c r="E272" s="195"/>
      <c r="F272" s="195"/>
      <c r="G272" s="195"/>
      <c r="H272" s="195"/>
      <c r="I272" s="195"/>
    </row>
    <row r="273" spans="1:9" ht="15" customHeight="1" x14ac:dyDescent="0.25">
      <c r="A273" s="193"/>
      <c r="B273" s="61"/>
      <c r="C273" s="61"/>
      <c r="D273" s="61"/>
      <c r="E273" s="61"/>
      <c r="F273" s="61"/>
      <c r="G273" s="61"/>
      <c r="H273" s="61"/>
      <c r="I273" s="61"/>
    </row>
    <row r="274" spans="1:9" ht="15" customHeight="1" x14ac:dyDescent="0.25">
      <c r="A274" s="194"/>
      <c r="B274" s="195"/>
      <c r="C274" s="195"/>
      <c r="D274" s="195"/>
      <c r="E274" s="195"/>
      <c r="F274" s="195"/>
      <c r="G274" s="195"/>
      <c r="H274" s="195"/>
      <c r="I274" s="195"/>
    </row>
    <row r="275" spans="1:9" ht="15" customHeight="1" x14ac:dyDescent="0.25">
      <c r="A275" s="193"/>
      <c r="B275" s="61"/>
      <c r="C275" s="61"/>
      <c r="D275" s="61"/>
      <c r="E275" s="61"/>
      <c r="F275" s="61"/>
      <c r="G275" s="61"/>
      <c r="H275" s="61"/>
      <c r="I275" s="61"/>
    </row>
    <row r="276" spans="1:9" ht="15" customHeight="1" x14ac:dyDescent="0.25">
      <c r="A276" s="194"/>
      <c r="B276" s="195"/>
      <c r="C276" s="195"/>
      <c r="D276" s="195"/>
      <c r="E276" s="195"/>
      <c r="F276" s="195"/>
      <c r="G276" s="195"/>
      <c r="H276" s="195"/>
      <c r="I276" s="195"/>
    </row>
    <row r="277" spans="1:9" ht="15" customHeight="1" x14ac:dyDescent="0.25">
      <c r="A277" s="193"/>
      <c r="B277" s="61"/>
      <c r="C277" s="61"/>
      <c r="D277" s="61"/>
      <c r="E277" s="61"/>
      <c r="F277" s="61"/>
      <c r="G277" s="61"/>
      <c r="H277" s="61"/>
      <c r="I277" s="61"/>
    </row>
    <row r="278" spans="1:9" ht="15" customHeight="1" x14ac:dyDescent="0.25">
      <c r="A278" s="194"/>
      <c r="B278" s="195"/>
      <c r="C278" s="195"/>
      <c r="D278" s="195"/>
      <c r="E278" s="195"/>
      <c r="F278" s="195"/>
      <c r="G278" s="195"/>
      <c r="H278" s="195"/>
      <c r="I278" s="195"/>
    </row>
    <row r="279" spans="1:9" ht="15" customHeight="1" x14ac:dyDescent="0.25">
      <c r="A279" s="193"/>
      <c r="B279" s="61"/>
      <c r="C279" s="61"/>
      <c r="D279" s="61"/>
      <c r="E279" s="61"/>
      <c r="F279" s="61"/>
      <c r="G279" s="61"/>
      <c r="H279" s="61"/>
      <c r="I279" s="61"/>
    </row>
    <row r="280" spans="1:9" ht="15" customHeight="1" x14ac:dyDescent="0.25">
      <c r="A280" s="194"/>
      <c r="B280" s="195"/>
      <c r="C280" s="195"/>
      <c r="D280" s="195"/>
      <c r="E280" s="195"/>
      <c r="F280" s="195"/>
      <c r="G280" s="195"/>
      <c r="H280" s="195"/>
      <c r="I280" s="195"/>
    </row>
    <row r="281" spans="1:9" ht="15" customHeight="1" x14ac:dyDescent="0.25">
      <c r="A281" s="193"/>
      <c r="B281" s="61"/>
      <c r="C281" s="61"/>
      <c r="D281" s="61"/>
      <c r="E281" s="61"/>
      <c r="F281" s="61"/>
      <c r="G281" s="61"/>
      <c r="H281" s="61"/>
      <c r="I281" s="61"/>
    </row>
    <row r="282" spans="1:9" ht="15" customHeight="1" x14ac:dyDescent="0.25">
      <c r="A282" s="194"/>
      <c r="B282" s="195"/>
      <c r="C282" s="195"/>
      <c r="D282" s="195"/>
      <c r="E282" s="195"/>
      <c r="F282" s="195"/>
      <c r="G282" s="195"/>
      <c r="H282" s="195"/>
      <c r="I282" s="195"/>
    </row>
    <row r="283" spans="1:9" ht="15" customHeight="1" x14ac:dyDescent="0.25">
      <c r="A283" s="193"/>
      <c r="B283" s="61"/>
      <c r="C283" s="61"/>
      <c r="D283" s="61"/>
      <c r="E283" s="61"/>
      <c r="F283" s="61"/>
      <c r="G283" s="61"/>
      <c r="H283" s="61"/>
      <c r="I283" s="61"/>
    </row>
    <row r="284" spans="1:9" ht="15" customHeight="1" x14ac:dyDescent="0.25">
      <c r="A284" s="194"/>
      <c r="B284" s="195"/>
      <c r="C284" s="195"/>
      <c r="D284" s="195"/>
      <c r="E284" s="195"/>
      <c r="F284" s="195"/>
      <c r="G284" s="195"/>
      <c r="H284" s="195"/>
      <c r="I284" s="195"/>
    </row>
    <row r="285" spans="1:9" ht="15" customHeight="1" x14ac:dyDescent="0.25">
      <c r="A285" s="193"/>
      <c r="B285" s="61"/>
      <c r="C285" s="61"/>
      <c r="D285" s="61"/>
      <c r="E285" s="61"/>
      <c r="F285" s="61"/>
      <c r="G285" s="61"/>
      <c r="H285" s="61"/>
      <c r="I285" s="61"/>
    </row>
    <row r="286" spans="1:9" ht="15" customHeight="1" x14ac:dyDescent="0.25">
      <c r="A286" s="194"/>
      <c r="B286" s="195"/>
      <c r="C286" s="195"/>
      <c r="D286" s="195"/>
      <c r="E286" s="195"/>
      <c r="F286" s="195"/>
      <c r="G286" s="195"/>
      <c r="H286" s="195"/>
      <c r="I286" s="195"/>
    </row>
    <row r="287" spans="1:9" ht="15" customHeight="1" x14ac:dyDescent="0.25">
      <c r="A287" s="193"/>
      <c r="B287" s="61"/>
      <c r="C287" s="61"/>
      <c r="D287" s="61"/>
      <c r="E287" s="61"/>
      <c r="F287" s="61"/>
      <c r="G287" s="61"/>
      <c r="H287" s="61"/>
      <c r="I287" s="61"/>
    </row>
    <row r="288" spans="1:9" ht="15" customHeight="1" x14ac:dyDescent="0.25">
      <c r="A288" s="194"/>
      <c r="B288" s="195"/>
      <c r="C288" s="195"/>
      <c r="D288" s="195"/>
      <c r="E288" s="195"/>
      <c r="F288" s="195"/>
      <c r="G288" s="195"/>
      <c r="H288" s="195"/>
      <c r="I288" s="195"/>
    </row>
    <row r="289" spans="1:9" ht="15" customHeight="1" x14ac:dyDescent="0.25">
      <c r="A289" s="193"/>
      <c r="B289" s="61"/>
      <c r="C289" s="61"/>
      <c r="D289" s="61"/>
      <c r="E289" s="61"/>
      <c r="F289" s="61"/>
      <c r="G289" s="61"/>
      <c r="H289" s="61"/>
      <c r="I289" s="61"/>
    </row>
    <row r="290" spans="1:9" ht="15" customHeight="1" x14ac:dyDescent="0.25">
      <c r="A290" s="194"/>
      <c r="B290" s="195"/>
      <c r="C290" s="195"/>
      <c r="D290" s="195"/>
      <c r="E290" s="195"/>
      <c r="F290" s="195"/>
      <c r="G290" s="195"/>
      <c r="H290" s="195"/>
      <c r="I290" s="195"/>
    </row>
    <row r="291" spans="1:9" ht="15" customHeight="1" x14ac:dyDescent="0.25">
      <c r="A291" s="193"/>
      <c r="B291" s="61"/>
      <c r="C291" s="61"/>
      <c r="D291" s="61"/>
      <c r="E291" s="61"/>
      <c r="F291" s="61"/>
      <c r="G291" s="61"/>
      <c r="H291" s="61"/>
      <c r="I291" s="61"/>
    </row>
    <row r="292" spans="1:9" ht="15" customHeight="1" x14ac:dyDescent="0.25">
      <c r="A292" s="194"/>
      <c r="B292" s="195"/>
      <c r="C292" s="195"/>
      <c r="D292" s="195"/>
      <c r="E292" s="195"/>
      <c r="F292" s="195"/>
      <c r="G292" s="195"/>
      <c r="H292" s="195"/>
      <c r="I292" s="195"/>
    </row>
    <row r="293" spans="1:9" ht="15" customHeight="1" x14ac:dyDescent="0.25">
      <c r="A293" s="193"/>
      <c r="B293" s="61"/>
      <c r="C293" s="61"/>
      <c r="D293" s="61"/>
      <c r="E293" s="61"/>
      <c r="F293" s="61"/>
      <c r="G293" s="61"/>
      <c r="H293" s="61"/>
      <c r="I293" s="61"/>
    </row>
    <row r="294" spans="1:9" ht="15" customHeight="1" x14ac:dyDescent="0.25">
      <c r="A294" s="194"/>
      <c r="B294" s="195"/>
      <c r="C294" s="195"/>
      <c r="D294" s="195"/>
      <c r="E294" s="195"/>
      <c r="F294" s="195"/>
      <c r="G294" s="195"/>
      <c r="H294" s="195"/>
      <c r="I294" s="195"/>
    </row>
    <row r="295" spans="1:9" ht="15" customHeight="1" x14ac:dyDescent="0.25">
      <c r="A295" s="193"/>
      <c r="B295" s="61"/>
      <c r="C295" s="61"/>
      <c r="D295" s="61"/>
      <c r="E295" s="61"/>
      <c r="F295" s="61"/>
      <c r="G295" s="61"/>
      <c r="H295" s="61"/>
      <c r="I295" s="61"/>
    </row>
    <row r="296" spans="1:9" ht="15" customHeight="1" x14ac:dyDescent="0.25">
      <c r="A296" s="194"/>
      <c r="B296" s="195"/>
      <c r="C296" s="195"/>
      <c r="D296" s="195"/>
      <c r="E296" s="195"/>
      <c r="F296" s="195"/>
      <c r="G296" s="195"/>
      <c r="H296" s="195"/>
      <c r="I296" s="195"/>
    </row>
    <row r="297" spans="1:9" ht="15" customHeight="1" x14ac:dyDescent="0.25">
      <c r="A297" s="193"/>
      <c r="B297" s="61"/>
      <c r="C297" s="61"/>
      <c r="D297" s="61"/>
      <c r="E297" s="61"/>
      <c r="F297" s="61"/>
      <c r="G297" s="61"/>
      <c r="H297" s="61"/>
      <c r="I297" s="61"/>
    </row>
    <row r="298" spans="1:9" ht="15" customHeight="1" x14ac:dyDescent="0.25">
      <c r="A298" s="194"/>
      <c r="B298" s="195"/>
      <c r="C298" s="195"/>
      <c r="D298" s="195"/>
      <c r="E298" s="195"/>
      <c r="F298" s="195"/>
      <c r="G298" s="195"/>
      <c r="H298" s="195"/>
      <c r="I298" s="195"/>
    </row>
    <row r="299" spans="1:9" ht="15" customHeight="1" x14ac:dyDescent="0.25">
      <c r="A299" s="193"/>
      <c r="B299" s="61"/>
      <c r="C299" s="61"/>
      <c r="D299" s="61"/>
      <c r="E299" s="61"/>
      <c r="F299" s="61"/>
      <c r="G299" s="61"/>
      <c r="H299" s="61"/>
      <c r="I299" s="61"/>
    </row>
    <row r="300" spans="1:9" ht="15" customHeight="1" x14ac:dyDescent="0.25">
      <c r="A300" s="194"/>
      <c r="B300" s="195"/>
      <c r="C300" s="195"/>
      <c r="D300" s="195"/>
      <c r="E300" s="195"/>
      <c r="F300" s="195"/>
      <c r="G300" s="195"/>
      <c r="H300" s="195"/>
      <c r="I300" s="195"/>
    </row>
    <row r="301" spans="1:9" ht="15" customHeight="1" x14ac:dyDescent="0.25">
      <c r="A301" s="193"/>
      <c r="B301" s="61"/>
      <c r="C301" s="61"/>
      <c r="D301" s="61"/>
      <c r="E301" s="61"/>
      <c r="F301" s="61"/>
      <c r="G301" s="61"/>
      <c r="H301" s="61"/>
      <c r="I301" s="61"/>
    </row>
    <row r="302" spans="1:9" ht="15" customHeight="1" x14ac:dyDescent="0.25">
      <c r="A302" s="194"/>
      <c r="B302" s="195"/>
      <c r="C302" s="195"/>
      <c r="D302" s="195"/>
      <c r="E302" s="195"/>
      <c r="F302" s="195"/>
      <c r="G302" s="195"/>
      <c r="H302" s="195"/>
      <c r="I302" s="195"/>
    </row>
    <row r="303" spans="1:9" ht="15" customHeight="1" x14ac:dyDescent="0.25">
      <c r="A303" s="193"/>
      <c r="B303" s="61"/>
      <c r="C303" s="61"/>
      <c r="D303" s="61"/>
      <c r="E303" s="61"/>
      <c r="F303" s="61"/>
      <c r="G303" s="61"/>
      <c r="H303" s="61"/>
      <c r="I303" s="61"/>
    </row>
    <row r="304" spans="1:9" ht="15" customHeight="1" x14ac:dyDescent="0.25">
      <c r="A304" s="194"/>
      <c r="B304" s="195"/>
      <c r="C304" s="195"/>
      <c r="D304" s="195"/>
      <c r="E304" s="195"/>
      <c r="F304" s="195"/>
      <c r="G304" s="195"/>
      <c r="H304" s="195"/>
      <c r="I304" s="195"/>
    </row>
    <row r="305" spans="1:9" ht="15" customHeight="1" x14ac:dyDescent="0.25">
      <c r="A305" s="193"/>
      <c r="B305" s="61"/>
      <c r="C305" s="61"/>
      <c r="D305" s="61"/>
      <c r="E305" s="61"/>
      <c r="F305" s="61"/>
      <c r="G305" s="61"/>
      <c r="H305" s="61"/>
      <c r="I305" s="61"/>
    </row>
    <row r="306" spans="1:9" ht="15" customHeight="1" x14ac:dyDescent="0.25">
      <c r="A306" s="194"/>
      <c r="B306" s="195"/>
      <c r="C306" s="195"/>
      <c r="D306" s="195"/>
      <c r="E306" s="195"/>
      <c r="F306" s="195"/>
      <c r="G306" s="195"/>
      <c r="H306" s="195"/>
      <c r="I306" s="195"/>
    </row>
    <row r="307" spans="1:9" ht="15" customHeight="1" x14ac:dyDescent="0.25">
      <c r="A307" s="193"/>
      <c r="B307" s="61"/>
      <c r="C307" s="61"/>
      <c r="D307" s="61"/>
      <c r="E307" s="61"/>
      <c r="F307" s="61"/>
      <c r="G307" s="61"/>
      <c r="H307" s="61"/>
      <c r="I307" s="61"/>
    </row>
    <row r="308" spans="1:9" ht="15" customHeight="1" x14ac:dyDescent="0.25">
      <c r="A308" s="194"/>
      <c r="B308" s="195"/>
      <c r="C308" s="195"/>
      <c r="D308" s="195"/>
      <c r="E308" s="195"/>
      <c r="F308" s="195"/>
      <c r="G308" s="195"/>
      <c r="H308" s="195"/>
      <c r="I308" s="195"/>
    </row>
    <row r="309" spans="1:9" ht="15" customHeight="1" x14ac:dyDescent="0.25">
      <c r="A309" s="193"/>
      <c r="B309" s="61"/>
      <c r="C309" s="61"/>
      <c r="D309" s="61"/>
      <c r="E309" s="61"/>
      <c r="F309" s="61"/>
      <c r="G309" s="61"/>
      <c r="H309" s="61"/>
      <c r="I309" s="61"/>
    </row>
    <row r="310" spans="1:9" ht="15" customHeight="1" x14ac:dyDescent="0.25">
      <c r="A310" s="194"/>
      <c r="B310" s="195"/>
      <c r="C310" s="195"/>
      <c r="D310" s="195"/>
      <c r="E310" s="195"/>
      <c r="F310" s="195"/>
      <c r="G310" s="195"/>
      <c r="H310" s="195"/>
      <c r="I310" s="195"/>
    </row>
    <row r="311" spans="1:9" ht="15" customHeight="1" x14ac:dyDescent="0.25">
      <c r="A311" s="193"/>
      <c r="B311" s="61"/>
      <c r="C311" s="61"/>
      <c r="D311" s="61"/>
      <c r="E311" s="61"/>
      <c r="F311" s="61"/>
      <c r="G311" s="61"/>
      <c r="H311" s="61"/>
      <c r="I311" s="61"/>
    </row>
    <row r="312" spans="1:9" ht="15" customHeight="1" x14ac:dyDescent="0.25">
      <c r="A312" s="194"/>
      <c r="B312" s="195"/>
      <c r="C312" s="195"/>
      <c r="D312" s="195"/>
      <c r="E312" s="195"/>
      <c r="F312" s="195"/>
      <c r="G312" s="195"/>
      <c r="H312" s="195"/>
      <c r="I312" s="195"/>
    </row>
    <row r="313" spans="1:9" ht="15" customHeight="1" x14ac:dyDescent="0.25">
      <c r="A313" s="193"/>
      <c r="B313" s="61"/>
      <c r="C313" s="61"/>
      <c r="D313" s="61"/>
      <c r="E313" s="61"/>
      <c r="F313" s="61"/>
      <c r="G313" s="61"/>
      <c r="H313" s="61"/>
      <c r="I313" s="61"/>
    </row>
    <row r="314" spans="1:9" ht="15" customHeight="1" x14ac:dyDescent="0.25">
      <c r="A314" s="194"/>
      <c r="B314" s="195"/>
      <c r="C314" s="195"/>
      <c r="D314" s="195"/>
      <c r="E314" s="195"/>
      <c r="F314" s="195"/>
      <c r="G314" s="195"/>
      <c r="H314" s="195"/>
      <c r="I314" s="195"/>
    </row>
    <row r="315" spans="1:9" ht="15" customHeight="1" x14ac:dyDescent="0.25">
      <c r="A315" s="193"/>
      <c r="B315" s="61"/>
      <c r="C315" s="61"/>
      <c r="D315" s="61"/>
      <c r="E315" s="61"/>
      <c r="F315" s="61"/>
      <c r="G315" s="61"/>
      <c r="H315" s="61"/>
      <c r="I315" s="61"/>
    </row>
    <row r="316" spans="1:9" ht="15" customHeight="1" x14ac:dyDescent="0.25">
      <c r="A316" s="194"/>
      <c r="B316" s="195"/>
      <c r="C316" s="195"/>
      <c r="D316" s="195"/>
      <c r="E316" s="195"/>
      <c r="F316" s="195"/>
      <c r="G316" s="195"/>
      <c r="H316" s="195"/>
      <c r="I316" s="195"/>
    </row>
    <row r="317" spans="1:9" ht="15" customHeight="1" x14ac:dyDescent="0.25">
      <c r="A317" s="193"/>
      <c r="B317" s="61"/>
      <c r="C317" s="61"/>
      <c r="D317" s="61"/>
      <c r="E317" s="61"/>
      <c r="F317" s="61"/>
      <c r="G317" s="61"/>
      <c r="H317" s="61"/>
      <c r="I317" s="61"/>
    </row>
    <row r="318" spans="1:9" ht="15" customHeight="1" x14ac:dyDescent="0.25">
      <c r="A318" s="194"/>
      <c r="B318" s="195"/>
      <c r="C318" s="195"/>
      <c r="D318" s="195"/>
      <c r="E318" s="195"/>
      <c r="F318" s="195"/>
      <c r="G318" s="195"/>
      <c r="H318" s="195"/>
      <c r="I318" s="195"/>
    </row>
    <row r="319" spans="1:9" ht="15" customHeight="1" x14ac:dyDescent="0.25">
      <c r="A319" s="193"/>
      <c r="B319" s="61"/>
      <c r="C319" s="61"/>
      <c r="D319" s="61"/>
      <c r="E319" s="61"/>
      <c r="F319" s="61"/>
      <c r="G319" s="61"/>
      <c r="H319" s="61"/>
      <c r="I319" s="61"/>
    </row>
    <row r="320" spans="1:9" ht="15" customHeight="1" x14ac:dyDescent="0.25">
      <c r="A320" s="194"/>
      <c r="B320" s="195"/>
      <c r="C320" s="195"/>
      <c r="D320" s="195"/>
      <c r="E320" s="195"/>
      <c r="F320" s="195"/>
      <c r="G320" s="195"/>
      <c r="H320" s="195"/>
      <c r="I320" s="195"/>
    </row>
    <row r="321" spans="1:9" ht="15" customHeight="1" x14ac:dyDescent="0.25">
      <c r="A321" s="193"/>
      <c r="B321" s="61"/>
      <c r="C321" s="61"/>
      <c r="D321" s="61"/>
      <c r="E321" s="61"/>
      <c r="F321" s="61"/>
      <c r="G321" s="61"/>
      <c r="H321" s="61"/>
      <c r="I321" s="61"/>
    </row>
    <row r="322" spans="1:9" ht="15" customHeight="1" x14ac:dyDescent="0.25">
      <c r="A322" s="194"/>
      <c r="B322" s="195"/>
      <c r="C322" s="195"/>
      <c r="D322" s="195"/>
      <c r="E322" s="195"/>
      <c r="F322" s="195"/>
      <c r="G322" s="195"/>
      <c r="H322" s="195"/>
      <c r="I322" s="195"/>
    </row>
    <row r="323" spans="1:9" ht="15" customHeight="1" x14ac:dyDescent="0.25">
      <c r="A323" s="193"/>
      <c r="B323" s="61"/>
      <c r="C323" s="61"/>
      <c r="D323" s="61"/>
      <c r="E323" s="61"/>
      <c r="F323" s="61"/>
      <c r="G323" s="61"/>
      <c r="H323" s="61"/>
      <c r="I323" s="61"/>
    </row>
    <row r="324" spans="1:9" ht="15" customHeight="1" x14ac:dyDescent="0.25">
      <c r="A324" s="194"/>
      <c r="B324" s="195"/>
      <c r="C324" s="195"/>
      <c r="D324" s="195"/>
      <c r="E324" s="195"/>
      <c r="F324" s="195"/>
      <c r="G324" s="195"/>
      <c r="H324" s="195"/>
      <c r="I324" s="195"/>
    </row>
    <row r="325" spans="1:9" ht="15" customHeight="1" x14ac:dyDescent="0.25">
      <c r="A325" s="193"/>
      <c r="B325" s="61"/>
      <c r="C325" s="61"/>
      <c r="D325" s="61"/>
      <c r="E325" s="61"/>
      <c r="F325" s="61"/>
      <c r="G325" s="61"/>
      <c r="H325" s="61"/>
      <c r="I325" s="61"/>
    </row>
    <row r="326" spans="1:9" ht="15" customHeight="1" x14ac:dyDescent="0.25">
      <c r="A326" s="194"/>
      <c r="B326" s="195"/>
      <c r="C326" s="195"/>
      <c r="D326" s="195"/>
      <c r="E326" s="195"/>
      <c r="F326" s="195"/>
      <c r="G326" s="195"/>
      <c r="H326" s="195"/>
      <c r="I326" s="195"/>
    </row>
    <row r="327" spans="1:9" ht="15" customHeight="1" x14ac:dyDescent="0.25">
      <c r="A327" s="193"/>
      <c r="B327" s="61"/>
      <c r="C327" s="61"/>
      <c r="D327" s="61"/>
      <c r="E327" s="61"/>
      <c r="F327" s="61"/>
      <c r="G327" s="61"/>
      <c r="H327" s="61"/>
      <c r="I327" s="61"/>
    </row>
    <row r="328" spans="1:9" ht="15" customHeight="1" x14ac:dyDescent="0.25">
      <c r="A328" s="194"/>
      <c r="B328" s="195"/>
      <c r="C328" s="195"/>
      <c r="D328" s="195"/>
      <c r="E328" s="195"/>
      <c r="F328" s="195"/>
      <c r="G328" s="195"/>
      <c r="H328" s="195"/>
      <c r="I328" s="195"/>
    </row>
    <row r="329" spans="1:9" ht="15" customHeight="1" x14ac:dyDescent="0.25">
      <c r="A329" s="193"/>
      <c r="B329" s="61"/>
      <c r="C329" s="61"/>
      <c r="D329" s="61"/>
      <c r="E329" s="61"/>
      <c r="F329" s="61"/>
      <c r="G329" s="61"/>
      <c r="H329" s="61"/>
      <c r="I329" s="61"/>
    </row>
    <row r="330" spans="1:9" ht="15" customHeight="1" x14ac:dyDescent="0.25">
      <c r="A330" s="194"/>
      <c r="B330" s="195"/>
      <c r="C330" s="195"/>
      <c r="D330" s="195"/>
      <c r="E330" s="195"/>
      <c r="F330" s="195"/>
      <c r="G330" s="195"/>
      <c r="H330" s="195"/>
      <c r="I330" s="195"/>
    </row>
    <row r="331" spans="1:9" ht="15" customHeight="1" x14ac:dyDescent="0.25">
      <c r="A331" s="193"/>
      <c r="B331" s="61"/>
      <c r="C331" s="61"/>
      <c r="D331" s="61"/>
      <c r="E331" s="61"/>
      <c r="F331" s="61"/>
      <c r="G331" s="61"/>
      <c r="H331" s="61"/>
      <c r="I331" s="61"/>
    </row>
    <row r="332" spans="1:9" ht="15" customHeight="1" x14ac:dyDescent="0.25">
      <c r="A332" s="194"/>
      <c r="B332" s="195"/>
      <c r="C332" s="195"/>
      <c r="D332" s="195"/>
      <c r="E332" s="195"/>
      <c r="F332" s="195"/>
      <c r="G332" s="195"/>
      <c r="H332" s="195"/>
      <c r="I332" s="195"/>
    </row>
    <row r="333" spans="1:9" ht="15" customHeight="1" x14ac:dyDescent="0.25">
      <c r="A333" s="193"/>
      <c r="B333" s="61"/>
      <c r="C333" s="61"/>
      <c r="D333" s="61"/>
      <c r="E333" s="61"/>
      <c r="F333" s="61"/>
      <c r="G333" s="61"/>
      <c r="H333" s="61"/>
      <c r="I333" s="61"/>
    </row>
    <row r="334" spans="1:9" ht="15" customHeight="1" x14ac:dyDescent="0.25">
      <c r="A334" s="194"/>
      <c r="B334" s="195"/>
      <c r="C334" s="195"/>
      <c r="D334" s="195"/>
      <c r="E334" s="195"/>
      <c r="F334" s="195"/>
      <c r="G334" s="195"/>
      <c r="H334" s="195"/>
      <c r="I334" s="195"/>
    </row>
    <row r="335" spans="1:9" ht="15" customHeight="1" x14ac:dyDescent="0.25">
      <c r="A335" s="193"/>
      <c r="B335" s="61"/>
      <c r="C335" s="61"/>
      <c r="D335" s="61"/>
      <c r="E335" s="61"/>
      <c r="F335" s="61"/>
      <c r="G335" s="61"/>
      <c r="H335" s="61"/>
      <c r="I335" s="61"/>
    </row>
    <row r="336" spans="1:9" ht="15" customHeight="1" x14ac:dyDescent="0.25">
      <c r="A336" s="194"/>
      <c r="B336" s="195"/>
      <c r="C336" s="195"/>
      <c r="D336" s="195"/>
      <c r="E336" s="195"/>
      <c r="F336" s="195"/>
      <c r="G336" s="195"/>
      <c r="H336" s="195"/>
      <c r="I336" s="195"/>
    </row>
    <row r="337" spans="1:9" ht="15" customHeight="1" x14ac:dyDescent="0.25">
      <c r="A337" s="193"/>
      <c r="B337" s="61"/>
      <c r="C337" s="61"/>
      <c r="D337" s="61"/>
      <c r="E337" s="61"/>
      <c r="F337" s="61"/>
      <c r="G337" s="61"/>
      <c r="H337" s="61"/>
      <c r="I337" s="61"/>
    </row>
    <row r="338" spans="1:9" ht="15" customHeight="1" x14ac:dyDescent="0.25">
      <c r="A338" s="194"/>
      <c r="B338" s="195"/>
      <c r="C338" s="195"/>
      <c r="D338" s="195"/>
      <c r="E338" s="195"/>
      <c r="F338" s="195"/>
      <c r="G338" s="195"/>
      <c r="H338" s="195"/>
      <c r="I338" s="195"/>
    </row>
    <row r="339" spans="1:9" ht="15" customHeight="1" x14ac:dyDescent="0.25">
      <c r="A339" s="193"/>
      <c r="B339" s="61"/>
      <c r="C339" s="61"/>
      <c r="D339" s="61"/>
      <c r="E339" s="61"/>
      <c r="F339" s="61"/>
      <c r="G339" s="61"/>
      <c r="H339" s="61"/>
      <c r="I339" s="61"/>
    </row>
    <row r="340" spans="1:9" ht="15" customHeight="1" x14ac:dyDescent="0.25">
      <c r="A340" s="194"/>
      <c r="B340" s="195"/>
      <c r="C340" s="195"/>
      <c r="D340" s="195"/>
      <c r="E340" s="195"/>
      <c r="F340" s="195"/>
      <c r="G340" s="195"/>
      <c r="H340" s="195"/>
      <c r="I340" s="195"/>
    </row>
    <row r="341" spans="1:9" ht="15" customHeight="1" x14ac:dyDescent="0.25">
      <c r="A341" s="193"/>
      <c r="B341" s="61"/>
      <c r="C341" s="61"/>
      <c r="D341" s="61"/>
      <c r="E341" s="61"/>
      <c r="F341" s="61"/>
      <c r="G341" s="61"/>
      <c r="H341" s="61"/>
      <c r="I341" s="61"/>
    </row>
    <row r="342" spans="1:9" ht="15" customHeight="1" x14ac:dyDescent="0.25">
      <c r="A342" s="194"/>
      <c r="B342" s="195"/>
      <c r="C342" s="195"/>
      <c r="D342" s="195"/>
      <c r="E342" s="195"/>
      <c r="F342" s="195"/>
      <c r="G342" s="195"/>
      <c r="H342" s="195"/>
      <c r="I342" s="195"/>
    </row>
    <row r="343" spans="1:9" ht="15" customHeight="1" x14ac:dyDescent="0.25">
      <c r="A343" s="193"/>
      <c r="B343" s="61"/>
      <c r="C343" s="61"/>
      <c r="D343" s="61"/>
      <c r="E343" s="61"/>
      <c r="F343" s="61"/>
      <c r="G343" s="61"/>
      <c r="H343" s="61"/>
      <c r="I343" s="61"/>
    </row>
    <row r="344" spans="1:9" ht="15" customHeight="1" x14ac:dyDescent="0.25">
      <c r="A344" s="194"/>
      <c r="B344" s="195"/>
      <c r="C344" s="195"/>
      <c r="D344" s="195"/>
      <c r="E344" s="195"/>
      <c r="F344" s="195"/>
      <c r="G344" s="195"/>
      <c r="H344" s="195"/>
      <c r="I344" s="195"/>
    </row>
    <row r="345" spans="1:9" ht="15" customHeight="1" x14ac:dyDescent="0.25">
      <c r="A345" s="193"/>
      <c r="B345" s="61"/>
      <c r="C345" s="61"/>
      <c r="D345" s="61"/>
      <c r="E345" s="61"/>
      <c r="F345" s="61"/>
      <c r="G345" s="61"/>
      <c r="H345" s="61"/>
      <c r="I345" s="61"/>
    </row>
    <row r="346" spans="1:9" ht="15" customHeight="1" x14ac:dyDescent="0.25">
      <c r="A346" s="194"/>
      <c r="B346" s="195"/>
      <c r="C346" s="195"/>
      <c r="D346" s="195"/>
      <c r="E346" s="195"/>
      <c r="F346" s="195"/>
      <c r="G346" s="195"/>
      <c r="H346" s="195"/>
      <c r="I346" s="195"/>
    </row>
    <row r="347" spans="1:9" ht="15" customHeight="1" x14ac:dyDescent="0.25">
      <c r="A347" s="193"/>
      <c r="B347" s="61"/>
      <c r="C347" s="61"/>
      <c r="D347" s="61"/>
      <c r="E347" s="61"/>
      <c r="F347" s="61"/>
      <c r="G347" s="61"/>
      <c r="H347" s="61"/>
      <c r="I347" s="61"/>
    </row>
    <row r="348" spans="1:9" ht="15" customHeight="1" x14ac:dyDescent="0.25">
      <c r="A348" s="194"/>
      <c r="B348" s="195"/>
      <c r="C348" s="195"/>
      <c r="D348" s="195"/>
      <c r="E348" s="195"/>
      <c r="F348" s="195"/>
      <c r="G348" s="195"/>
      <c r="H348" s="195"/>
      <c r="I348" s="195"/>
    </row>
    <row r="349" spans="1:9" ht="15" customHeight="1" x14ac:dyDescent="0.25">
      <c r="A349" s="193"/>
      <c r="B349" s="61"/>
      <c r="C349" s="61"/>
      <c r="D349" s="61"/>
      <c r="E349" s="61"/>
      <c r="F349" s="61"/>
      <c r="G349" s="61"/>
      <c r="H349" s="61"/>
      <c r="I349" s="61"/>
    </row>
    <row r="350" spans="1:9" ht="15" customHeight="1" x14ac:dyDescent="0.25">
      <c r="A350" s="194"/>
      <c r="B350" s="195"/>
      <c r="C350" s="195"/>
      <c r="D350" s="195"/>
      <c r="E350" s="195"/>
      <c r="F350" s="195"/>
      <c r="G350" s="195"/>
      <c r="H350" s="195"/>
      <c r="I350" s="195"/>
    </row>
    <row r="351" spans="1:9" ht="15" customHeight="1" x14ac:dyDescent="0.25">
      <c r="A351" s="193"/>
      <c r="B351" s="61"/>
      <c r="C351" s="61"/>
      <c r="D351" s="61"/>
      <c r="E351" s="61"/>
      <c r="F351" s="61"/>
      <c r="G351" s="61"/>
      <c r="H351" s="61"/>
      <c r="I351" s="61"/>
    </row>
    <row r="352" spans="1:9" ht="15" customHeight="1" x14ac:dyDescent="0.25">
      <c r="A352" s="194"/>
      <c r="B352" s="195"/>
      <c r="C352" s="195"/>
      <c r="D352" s="195"/>
      <c r="E352" s="195"/>
      <c r="F352" s="195"/>
      <c r="G352" s="195"/>
      <c r="H352" s="195"/>
      <c r="I352" s="195"/>
    </row>
    <row r="353" spans="1:9" ht="15" customHeight="1" x14ac:dyDescent="0.25">
      <c r="A353" s="193"/>
      <c r="B353" s="61"/>
      <c r="C353" s="61"/>
      <c r="D353" s="61"/>
      <c r="E353" s="61"/>
      <c r="F353" s="61"/>
      <c r="G353" s="61"/>
      <c r="H353" s="61"/>
      <c r="I353" s="61"/>
    </row>
    <row r="354" spans="1:9" ht="15" customHeight="1" x14ac:dyDescent="0.25">
      <c r="A354" s="194"/>
      <c r="B354" s="195"/>
      <c r="C354" s="195"/>
      <c r="D354" s="195"/>
      <c r="E354" s="195"/>
      <c r="F354" s="195"/>
      <c r="G354" s="195"/>
      <c r="H354" s="195"/>
      <c r="I354" s="195"/>
    </row>
    <row r="355" spans="1:9" ht="15" customHeight="1" x14ac:dyDescent="0.25">
      <c r="A355" s="193"/>
      <c r="B355" s="61"/>
      <c r="C355" s="61"/>
      <c r="D355" s="61"/>
      <c r="E355" s="61"/>
      <c r="F355" s="61"/>
      <c r="G355" s="61"/>
      <c r="H355" s="61"/>
      <c r="I355" s="61"/>
    </row>
    <row r="356" spans="1:9" ht="15" customHeight="1" x14ac:dyDescent="0.25">
      <c r="A356" s="194"/>
      <c r="B356" s="195"/>
      <c r="C356" s="195"/>
      <c r="D356" s="195"/>
      <c r="E356" s="195"/>
      <c r="F356" s="195"/>
      <c r="G356" s="195"/>
      <c r="H356" s="195"/>
      <c r="I356" s="195"/>
    </row>
    <row r="357" spans="1:9" ht="15" customHeight="1" x14ac:dyDescent="0.25">
      <c r="A357" s="193"/>
      <c r="B357" s="61"/>
      <c r="C357" s="61"/>
      <c r="D357" s="61"/>
      <c r="E357" s="61"/>
      <c r="F357" s="61"/>
      <c r="G357" s="61"/>
      <c r="H357" s="61"/>
      <c r="I357" s="61"/>
    </row>
    <row r="358" spans="1:9" ht="15" customHeight="1" x14ac:dyDescent="0.25">
      <c r="A358" s="194"/>
      <c r="B358" s="195"/>
      <c r="C358" s="195"/>
      <c r="D358" s="195"/>
      <c r="E358" s="195"/>
      <c r="F358" s="195"/>
      <c r="G358" s="195"/>
      <c r="H358" s="195"/>
      <c r="I358" s="195"/>
    </row>
    <row r="359" spans="1:9" ht="15" customHeight="1" x14ac:dyDescent="0.25">
      <c r="A359" s="193"/>
      <c r="B359" s="61"/>
      <c r="C359" s="61"/>
      <c r="D359" s="61"/>
      <c r="E359" s="61"/>
      <c r="F359" s="61"/>
      <c r="G359" s="61"/>
      <c r="H359" s="61"/>
      <c r="I359" s="61"/>
    </row>
    <row r="360" spans="1:9" ht="15" customHeight="1" x14ac:dyDescent="0.25">
      <c r="A360" s="194"/>
      <c r="B360" s="195"/>
      <c r="C360" s="195"/>
      <c r="D360" s="195"/>
      <c r="E360" s="195"/>
      <c r="F360" s="195"/>
      <c r="G360" s="195"/>
      <c r="H360" s="195"/>
      <c r="I360" s="195"/>
    </row>
    <row r="361" spans="1:9" ht="15" customHeight="1" x14ac:dyDescent="0.25">
      <c r="A361" s="193"/>
      <c r="B361" s="61"/>
      <c r="C361" s="61"/>
      <c r="D361" s="61"/>
      <c r="E361" s="61"/>
      <c r="F361" s="61"/>
      <c r="G361" s="61"/>
      <c r="H361" s="61"/>
      <c r="I361" s="61"/>
    </row>
    <row r="362" spans="1:9" ht="15" customHeight="1" x14ac:dyDescent="0.25">
      <c r="A362" s="194"/>
      <c r="B362" s="195"/>
      <c r="C362" s="195"/>
      <c r="D362" s="195"/>
      <c r="E362" s="195"/>
      <c r="F362" s="195"/>
      <c r="G362" s="195"/>
      <c r="H362" s="195"/>
      <c r="I362" s="195"/>
    </row>
    <row r="363" spans="1:9" ht="15" customHeight="1" x14ac:dyDescent="0.25">
      <c r="A363" s="193"/>
      <c r="B363" s="61"/>
      <c r="C363" s="61"/>
      <c r="D363" s="61"/>
      <c r="E363" s="61"/>
      <c r="F363" s="61"/>
      <c r="G363" s="61"/>
      <c r="H363" s="61"/>
      <c r="I363" s="61"/>
    </row>
    <row r="364" spans="1:9" ht="15" customHeight="1" x14ac:dyDescent="0.25">
      <c r="A364" s="194"/>
      <c r="B364" s="195"/>
      <c r="C364" s="195"/>
      <c r="D364" s="195"/>
      <c r="E364" s="195"/>
      <c r="F364" s="195"/>
      <c r="G364" s="195"/>
      <c r="H364" s="195"/>
      <c r="I364" s="195"/>
    </row>
    <row r="365" spans="1:9" ht="15" customHeight="1" x14ac:dyDescent="0.25">
      <c r="A365" s="193"/>
      <c r="B365" s="61"/>
      <c r="C365" s="61"/>
      <c r="D365" s="61"/>
      <c r="E365" s="61"/>
      <c r="F365" s="61"/>
      <c r="G365" s="61"/>
      <c r="H365" s="61"/>
      <c r="I365" s="61"/>
    </row>
    <row r="366" spans="1:9" ht="15" customHeight="1" x14ac:dyDescent="0.25">
      <c r="A366" s="194"/>
      <c r="B366" s="195"/>
      <c r="C366" s="195"/>
      <c r="D366" s="195"/>
      <c r="E366" s="195"/>
      <c r="F366" s="195"/>
      <c r="G366" s="195"/>
      <c r="H366" s="195"/>
      <c r="I366" s="195"/>
    </row>
    <row r="367" spans="1:9" ht="15" customHeight="1" x14ac:dyDescent="0.25">
      <c r="A367" s="193"/>
      <c r="B367" s="61"/>
      <c r="C367" s="61"/>
      <c r="D367" s="61"/>
      <c r="E367" s="61"/>
      <c r="F367" s="61"/>
      <c r="G367" s="61"/>
      <c r="H367" s="61"/>
      <c r="I367" s="61"/>
    </row>
    <row r="368" spans="1:9" ht="15" customHeight="1" x14ac:dyDescent="0.25">
      <c r="A368" s="194"/>
      <c r="B368" s="195"/>
      <c r="C368" s="195"/>
      <c r="D368" s="195"/>
      <c r="E368" s="195"/>
      <c r="F368" s="195"/>
      <c r="G368" s="195"/>
      <c r="H368" s="195"/>
      <c r="I368" s="195"/>
    </row>
    <row r="369" spans="1:9" ht="15" customHeight="1" x14ac:dyDescent="0.25">
      <c r="A369" s="193"/>
      <c r="B369" s="61"/>
      <c r="C369" s="61"/>
      <c r="D369" s="61"/>
      <c r="E369" s="61"/>
      <c r="F369" s="61"/>
      <c r="G369" s="61"/>
      <c r="H369" s="61"/>
      <c r="I369" s="61"/>
    </row>
    <row r="370" spans="1:9" ht="15" customHeight="1" x14ac:dyDescent="0.25">
      <c r="A370" s="194"/>
      <c r="B370" s="195"/>
      <c r="C370" s="195"/>
      <c r="D370" s="195"/>
      <c r="E370" s="195"/>
      <c r="F370" s="195"/>
      <c r="G370" s="195"/>
      <c r="H370" s="195"/>
      <c r="I370" s="195"/>
    </row>
    <row r="371" spans="1:9" ht="15" customHeight="1" x14ac:dyDescent="0.25">
      <c r="A371" s="193"/>
      <c r="B371" s="61"/>
      <c r="C371" s="61"/>
      <c r="D371" s="61"/>
      <c r="E371" s="61"/>
      <c r="F371" s="61"/>
      <c r="G371" s="61"/>
      <c r="H371" s="61"/>
      <c r="I371" s="61"/>
    </row>
    <row r="372" spans="1:9" ht="15" customHeight="1" x14ac:dyDescent="0.25">
      <c r="A372" s="194"/>
      <c r="B372" s="195"/>
      <c r="C372" s="195"/>
      <c r="D372" s="195"/>
      <c r="E372" s="195"/>
      <c r="F372" s="195"/>
      <c r="G372" s="195"/>
      <c r="H372" s="195"/>
      <c r="I372" s="195"/>
    </row>
    <row r="373" spans="1:9" ht="15" customHeight="1" x14ac:dyDescent="0.25">
      <c r="A373" s="193"/>
      <c r="B373" s="61"/>
      <c r="C373" s="61"/>
      <c r="D373" s="61"/>
      <c r="E373" s="61"/>
      <c r="F373" s="61"/>
      <c r="G373" s="61"/>
      <c r="H373" s="61"/>
      <c r="I373" s="61"/>
    </row>
    <row r="374" spans="1:9" ht="15" customHeight="1" x14ac:dyDescent="0.25">
      <c r="A374" s="194"/>
      <c r="B374" s="195"/>
      <c r="C374" s="195"/>
      <c r="D374" s="195"/>
      <c r="E374" s="195"/>
      <c r="F374" s="195"/>
      <c r="G374" s="195"/>
      <c r="H374" s="195"/>
      <c r="I374" s="195"/>
    </row>
    <row r="375" spans="1:9" ht="15" customHeight="1" x14ac:dyDescent="0.25">
      <c r="A375" s="193"/>
      <c r="B375" s="61"/>
      <c r="C375" s="61"/>
      <c r="D375" s="61"/>
      <c r="E375" s="61"/>
      <c r="F375" s="61"/>
      <c r="G375" s="61"/>
      <c r="H375" s="61"/>
      <c r="I375" s="61"/>
    </row>
    <row r="376" spans="1:9" ht="15" customHeight="1" x14ac:dyDescent="0.25">
      <c r="A376" s="194"/>
      <c r="B376" s="195"/>
      <c r="C376" s="195"/>
      <c r="D376" s="195"/>
      <c r="E376" s="195"/>
      <c r="F376" s="195"/>
      <c r="G376" s="195"/>
      <c r="H376" s="195"/>
      <c r="I376" s="195"/>
    </row>
    <row r="377" spans="1:9" ht="15" customHeight="1" x14ac:dyDescent="0.25">
      <c r="A377" s="193"/>
      <c r="B377" s="61"/>
      <c r="C377" s="61"/>
      <c r="D377" s="61"/>
      <c r="E377" s="61"/>
      <c r="F377" s="61"/>
      <c r="G377" s="61"/>
      <c r="H377" s="61"/>
      <c r="I377" s="61"/>
    </row>
    <row r="378" spans="1:9" ht="15" customHeight="1" x14ac:dyDescent="0.25">
      <c r="A378" s="194"/>
      <c r="B378" s="195"/>
      <c r="C378" s="195"/>
      <c r="D378" s="195"/>
      <c r="E378" s="195"/>
      <c r="F378" s="195"/>
      <c r="G378" s="195"/>
      <c r="H378" s="195"/>
      <c r="I378" s="195"/>
    </row>
    <row r="379" spans="1:9" ht="15" customHeight="1" x14ac:dyDescent="0.25">
      <c r="A379" s="193"/>
      <c r="B379" s="61"/>
      <c r="C379" s="61"/>
      <c r="D379" s="61"/>
      <c r="E379" s="61"/>
      <c r="F379" s="61"/>
      <c r="G379" s="61"/>
      <c r="H379" s="61"/>
      <c r="I379" s="61"/>
    </row>
    <row r="380" spans="1:9" ht="15" customHeight="1" x14ac:dyDescent="0.25">
      <c r="A380" s="194"/>
      <c r="B380" s="195"/>
      <c r="C380" s="195"/>
      <c r="D380" s="195"/>
      <c r="E380" s="195"/>
      <c r="F380" s="195"/>
      <c r="G380" s="195"/>
      <c r="H380" s="195"/>
      <c r="I380" s="195"/>
    </row>
    <row r="381" spans="1:9" ht="15" customHeight="1" x14ac:dyDescent="0.25">
      <c r="A381" s="193"/>
      <c r="B381" s="61"/>
      <c r="C381" s="61"/>
      <c r="D381" s="61"/>
      <c r="E381" s="61"/>
      <c r="F381" s="61"/>
      <c r="G381" s="61"/>
      <c r="H381" s="61"/>
      <c r="I381" s="61"/>
    </row>
    <row r="382" spans="1:9" ht="15" customHeight="1" x14ac:dyDescent="0.25">
      <c r="A382" s="194"/>
      <c r="B382" s="195"/>
      <c r="C382" s="195"/>
      <c r="D382" s="195"/>
      <c r="E382" s="195"/>
      <c r="F382" s="195"/>
      <c r="G382" s="195"/>
      <c r="H382" s="195"/>
      <c r="I382" s="195"/>
    </row>
    <row r="383" spans="1:9" ht="15" customHeight="1" x14ac:dyDescent="0.25">
      <c r="A383" s="193"/>
      <c r="B383" s="61"/>
      <c r="C383" s="61"/>
      <c r="D383" s="61"/>
      <c r="E383" s="61"/>
      <c r="F383" s="61"/>
      <c r="G383" s="61"/>
      <c r="H383" s="61"/>
      <c r="I383" s="61"/>
    </row>
    <row r="384" spans="1:9" ht="15" customHeight="1" x14ac:dyDescent="0.25">
      <c r="A384" s="194"/>
      <c r="B384" s="195"/>
      <c r="C384" s="195"/>
      <c r="D384" s="195"/>
      <c r="E384" s="195"/>
      <c r="F384" s="195"/>
      <c r="G384" s="195"/>
      <c r="H384" s="195"/>
      <c r="I384" s="195"/>
    </row>
    <row r="385" spans="1:9" ht="15" customHeight="1" x14ac:dyDescent="0.25">
      <c r="A385" s="193"/>
      <c r="B385" s="61"/>
      <c r="C385" s="61"/>
      <c r="D385" s="61"/>
      <c r="E385" s="61"/>
      <c r="F385" s="61"/>
      <c r="G385" s="61"/>
      <c r="H385" s="61"/>
      <c r="I385" s="61"/>
    </row>
    <row r="386" spans="1:9" ht="15" customHeight="1" x14ac:dyDescent="0.25">
      <c r="A386" s="194"/>
      <c r="B386" s="195"/>
      <c r="C386" s="195"/>
      <c r="D386" s="195"/>
      <c r="E386" s="195"/>
      <c r="F386" s="195"/>
      <c r="G386" s="195"/>
      <c r="H386" s="195"/>
      <c r="I386" s="195"/>
    </row>
    <row r="387" spans="1:9" ht="15" customHeight="1" x14ac:dyDescent="0.25">
      <c r="A387" s="193"/>
      <c r="B387" s="61"/>
      <c r="C387" s="61"/>
      <c r="D387" s="61"/>
      <c r="E387" s="61"/>
      <c r="F387" s="61"/>
      <c r="G387" s="61"/>
      <c r="H387" s="61"/>
      <c r="I387" s="61"/>
    </row>
    <row r="388" spans="1:9" ht="15" customHeight="1" x14ac:dyDescent="0.25">
      <c r="A388" s="194"/>
      <c r="B388" s="195"/>
      <c r="C388" s="195"/>
      <c r="D388" s="195"/>
      <c r="E388" s="195"/>
      <c r="F388" s="195"/>
      <c r="G388" s="195"/>
      <c r="H388" s="195"/>
      <c r="I388" s="195"/>
    </row>
    <row r="389" spans="1:9" ht="15" customHeight="1" x14ac:dyDescent="0.25">
      <c r="A389" s="193"/>
      <c r="B389" s="61"/>
      <c r="C389" s="61"/>
      <c r="D389" s="61"/>
      <c r="E389" s="61"/>
      <c r="F389" s="61"/>
      <c r="G389" s="61"/>
      <c r="H389" s="61"/>
      <c r="I389" s="61"/>
    </row>
    <row r="390" spans="1:9" ht="15" customHeight="1" x14ac:dyDescent="0.25">
      <c r="A390" s="194"/>
      <c r="B390" s="195"/>
      <c r="C390" s="195"/>
      <c r="D390" s="195"/>
      <c r="E390" s="195"/>
      <c r="F390" s="195"/>
      <c r="G390" s="195"/>
      <c r="H390" s="195"/>
      <c r="I390" s="195"/>
    </row>
    <row r="391" spans="1:9" ht="15" customHeight="1" x14ac:dyDescent="0.25">
      <c r="A391" s="193"/>
      <c r="B391" s="61"/>
      <c r="C391" s="61"/>
      <c r="D391" s="61"/>
      <c r="E391" s="61"/>
      <c r="F391" s="61"/>
      <c r="G391" s="61"/>
      <c r="H391" s="61"/>
      <c r="I391" s="61"/>
    </row>
    <row r="392" spans="1:9" ht="15" customHeight="1" x14ac:dyDescent="0.25">
      <c r="A392" s="194"/>
      <c r="B392" s="195"/>
      <c r="C392" s="195"/>
      <c r="D392" s="195"/>
      <c r="E392" s="195"/>
      <c r="F392" s="195"/>
      <c r="G392" s="195"/>
      <c r="H392" s="195"/>
      <c r="I392" s="195"/>
    </row>
    <row r="393" spans="1:9" ht="15" customHeight="1" x14ac:dyDescent="0.25">
      <c r="A393" s="193"/>
      <c r="B393" s="61"/>
      <c r="C393" s="61"/>
      <c r="D393" s="61"/>
      <c r="E393" s="61"/>
      <c r="F393" s="61"/>
      <c r="G393" s="61"/>
      <c r="H393" s="61"/>
      <c r="I393" s="61"/>
    </row>
    <row r="394" spans="1:9" ht="15" customHeight="1" x14ac:dyDescent="0.25">
      <c r="A394" s="194"/>
      <c r="B394" s="195"/>
      <c r="C394" s="195"/>
      <c r="D394" s="195"/>
      <c r="E394" s="195"/>
      <c r="F394" s="195"/>
      <c r="G394" s="195"/>
      <c r="H394" s="195"/>
      <c r="I394" s="195"/>
    </row>
    <row r="395" spans="1:9" ht="15" customHeight="1" x14ac:dyDescent="0.25">
      <c r="A395" s="193"/>
      <c r="B395" s="61"/>
      <c r="C395" s="61"/>
      <c r="D395" s="61"/>
      <c r="E395" s="61"/>
      <c r="F395" s="61"/>
      <c r="G395" s="61"/>
      <c r="H395" s="61"/>
      <c r="I395" s="61"/>
    </row>
    <row r="396" spans="1:9" ht="15" customHeight="1" x14ac:dyDescent="0.25">
      <c r="A396" s="194"/>
      <c r="B396" s="195"/>
      <c r="C396" s="195"/>
      <c r="D396" s="195"/>
      <c r="E396" s="195"/>
      <c r="F396" s="195"/>
      <c r="G396" s="195"/>
      <c r="H396" s="195"/>
      <c r="I396" s="195"/>
    </row>
    <row r="397" spans="1:9" ht="15" customHeight="1" x14ac:dyDescent="0.25">
      <c r="A397" s="193"/>
      <c r="B397" s="61"/>
      <c r="C397" s="61"/>
      <c r="D397" s="61"/>
      <c r="E397" s="61"/>
      <c r="F397" s="61"/>
      <c r="G397" s="61"/>
      <c r="H397" s="61"/>
      <c r="I397" s="61"/>
    </row>
    <row r="398" spans="1:9" ht="15" customHeight="1" x14ac:dyDescent="0.25">
      <c r="A398" s="194"/>
      <c r="B398" s="195"/>
      <c r="C398" s="195"/>
      <c r="D398" s="195"/>
      <c r="E398" s="195"/>
      <c r="F398" s="195"/>
      <c r="G398" s="195"/>
      <c r="H398" s="195"/>
      <c r="I398" s="195"/>
    </row>
    <row r="399" spans="1:9" ht="15" customHeight="1" x14ac:dyDescent="0.25">
      <c r="A399" s="193"/>
      <c r="B399" s="61"/>
      <c r="C399" s="61"/>
      <c r="D399" s="61"/>
      <c r="E399" s="61"/>
      <c r="F399" s="61"/>
      <c r="G399" s="61"/>
      <c r="H399" s="61"/>
      <c r="I399" s="61"/>
    </row>
    <row r="400" spans="1:9" ht="15" customHeight="1" x14ac:dyDescent="0.25">
      <c r="A400" s="194"/>
      <c r="B400" s="195"/>
      <c r="C400" s="195"/>
      <c r="D400" s="195"/>
      <c r="E400" s="195"/>
      <c r="F400" s="195"/>
      <c r="G400" s="195"/>
      <c r="H400" s="195"/>
      <c r="I400" s="195"/>
    </row>
    <row r="401" spans="1:9" ht="15" customHeight="1" x14ac:dyDescent="0.25">
      <c r="A401" s="193"/>
      <c r="B401" s="61"/>
      <c r="C401" s="61"/>
      <c r="D401" s="61"/>
      <c r="E401" s="61"/>
      <c r="F401" s="61"/>
      <c r="G401" s="61"/>
      <c r="H401" s="61"/>
      <c r="I401" s="61"/>
    </row>
    <row r="402" spans="1:9" ht="15" customHeight="1" x14ac:dyDescent="0.25">
      <c r="A402" s="194"/>
      <c r="B402" s="195"/>
      <c r="C402" s="195"/>
      <c r="D402" s="195"/>
      <c r="E402" s="195"/>
      <c r="F402" s="195"/>
      <c r="G402" s="195"/>
      <c r="H402" s="195"/>
      <c r="I402" s="195"/>
    </row>
    <row r="403" spans="1:9" ht="15" customHeight="1" x14ac:dyDescent="0.25">
      <c r="A403" s="193"/>
      <c r="B403" s="61"/>
      <c r="C403" s="61"/>
      <c r="D403" s="61"/>
      <c r="E403" s="61"/>
      <c r="F403" s="61"/>
      <c r="G403" s="61"/>
      <c r="H403" s="61"/>
      <c r="I403" s="61"/>
    </row>
    <row r="404" spans="1:9" ht="15" customHeight="1" x14ac:dyDescent="0.25">
      <c r="A404" s="194"/>
      <c r="B404" s="195"/>
      <c r="C404" s="195"/>
      <c r="D404" s="195"/>
      <c r="E404" s="195"/>
      <c r="F404" s="195"/>
      <c r="G404" s="195"/>
      <c r="H404" s="195"/>
      <c r="I404" s="195"/>
    </row>
    <row r="405" spans="1:9" ht="15" customHeight="1" x14ac:dyDescent="0.25">
      <c r="A405" s="193"/>
      <c r="B405" s="61"/>
      <c r="C405" s="61"/>
      <c r="D405" s="61"/>
      <c r="E405" s="61"/>
      <c r="F405" s="61"/>
      <c r="G405" s="61"/>
      <c r="H405" s="61"/>
      <c r="I405" s="61"/>
    </row>
    <row r="406" spans="1:9" ht="15" customHeight="1" x14ac:dyDescent="0.25">
      <c r="A406" s="194"/>
      <c r="B406" s="195"/>
      <c r="C406" s="195"/>
      <c r="D406" s="195"/>
      <c r="E406" s="195"/>
      <c r="F406" s="195"/>
      <c r="G406" s="195"/>
      <c r="H406" s="195"/>
      <c r="I406" s="195"/>
    </row>
    <row r="407" spans="1:9" ht="15" customHeight="1" x14ac:dyDescent="0.25">
      <c r="A407" s="193"/>
      <c r="B407" s="61"/>
      <c r="C407" s="61"/>
      <c r="D407" s="61"/>
      <c r="E407" s="61"/>
      <c r="F407" s="61"/>
      <c r="G407" s="61"/>
      <c r="H407" s="61"/>
      <c r="I407" s="61"/>
    </row>
    <row r="408" spans="1:9" ht="15" customHeight="1" x14ac:dyDescent="0.25">
      <c r="A408" s="194"/>
      <c r="B408" s="195"/>
      <c r="C408" s="195"/>
      <c r="D408" s="195"/>
      <c r="E408" s="195"/>
      <c r="F408" s="195"/>
      <c r="G408" s="195"/>
      <c r="H408" s="195"/>
      <c r="I408" s="195"/>
    </row>
    <row r="409" spans="1:9" ht="15" customHeight="1" x14ac:dyDescent="0.25">
      <c r="A409" s="193"/>
      <c r="B409" s="61"/>
      <c r="C409" s="61"/>
      <c r="D409" s="61"/>
      <c r="E409" s="61"/>
      <c r="F409" s="61"/>
      <c r="G409" s="61"/>
      <c r="H409" s="61"/>
      <c r="I409" s="61"/>
    </row>
    <row r="410" spans="1:9" ht="15" customHeight="1" x14ac:dyDescent="0.25">
      <c r="A410" s="194"/>
      <c r="B410" s="195"/>
      <c r="C410" s="195"/>
      <c r="D410" s="195"/>
      <c r="E410" s="195"/>
      <c r="F410" s="195"/>
      <c r="G410" s="195"/>
      <c r="H410" s="195"/>
      <c r="I410" s="195"/>
    </row>
    <row r="411" spans="1:9" ht="15" customHeight="1" x14ac:dyDescent="0.25">
      <c r="A411" s="193"/>
      <c r="B411" s="61"/>
      <c r="C411" s="61"/>
      <c r="D411" s="61"/>
      <c r="E411" s="61"/>
      <c r="F411" s="61"/>
      <c r="G411" s="61"/>
      <c r="H411" s="61"/>
      <c r="I411" s="61"/>
    </row>
    <row r="412" spans="1:9" ht="15" customHeight="1" x14ac:dyDescent="0.25">
      <c r="A412" s="194"/>
      <c r="B412" s="195"/>
      <c r="C412" s="195"/>
      <c r="D412" s="195"/>
      <c r="E412" s="195"/>
      <c r="F412" s="195"/>
      <c r="G412" s="195"/>
      <c r="H412" s="195"/>
      <c r="I412" s="195"/>
    </row>
    <row r="413" spans="1:9" ht="15" customHeight="1" x14ac:dyDescent="0.25">
      <c r="A413" s="193"/>
      <c r="B413" s="61"/>
      <c r="C413" s="61"/>
      <c r="D413" s="61"/>
      <c r="E413" s="61"/>
      <c r="F413" s="61"/>
      <c r="G413" s="61"/>
      <c r="H413" s="61"/>
      <c r="I413" s="61"/>
    </row>
    <row r="414" spans="1:9" ht="15" customHeight="1" x14ac:dyDescent="0.25">
      <c r="A414" s="194"/>
      <c r="B414" s="195"/>
      <c r="C414" s="195"/>
      <c r="D414" s="195"/>
      <c r="E414" s="195"/>
      <c r="F414" s="195"/>
      <c r="G414" s="195"/>
      <c r="H414" s="195"/>
      <c r="I414" s="195"/>
    </row>
    <row r="415" spans="1:9" ht="15" customHeight="1" x14ac:dyDescent="0.25">
      <c r="A415" s="193"/>
      <c r="B415" s="61"/>
      <c r="C415" s="61"/>
      <c r="D415" s="61"/>
      <c r="E415" s="61"/>
      <c r="F415" s="61"/>
      <c r="G415" s="61"/>
      <c r="H415" s="61"/>
      <c r="I415" s="61"/>
    </row>
    <row r="416" spans="1:9" ht="15" customHeight="1" x14ac:dyDescent="0.25">
      <c r="A416" s="194"/>
      <c r="B416" s="195"/>
      <c r="C416" s="195"/>
      <c r="D416" s="195"/>
      <c r="E416" s="195"/>
      <c r="F416" s="195"/>
      <c r="G416" s="195"/>
      <c r="H416" s="195"/>
      <c r="I416" s="195"/>
    </row>
    <row r="417" spans="1:9" ht="15" customHeight="1" x14ac:dyDescent="0.25">
      <c r="A417" s="193"/>
      <c r="B417" s="61"/>
      <c r="C417" s="61"/>
      <c r="D417" s="61"/>
      <c r="E417" s="61"/>
      <c r="F417" s="61"/>
      <c r="G417" s="61"/>
      <c r="H417" s="61"/>
      <c r="I417" s="61"/>
    </row>
    <row r="418" spans="1:9" ht="15" customHeight="1" x14ac:dyDescent="0.25">
      <c r="A418" s="194"/>
      <c r="B418" s="195"/>
      <c r="C418" s="195"/>
      <c r="D418" s="195"/>
      <c r="E418" s="195"/>
      <c r="F418" s="195"/>
      <c r="G418" s="195"/>
      <c r="H418" s="195"/>
      <c r="I418" s="195"/>
    </row>
    <row r="419" spans="1:9" ht="15" customHeight="1" x14ac:dyDescent="0.25">
      <c r="A419" s="193"/>
      <c r="B419" s="61"/>
      <c r="C419" s="61"/>
      <c r="D419" s="61"/>
      <c r="E419" s="61"/>
      <c r="F419" s="61"/>
      <c r="G419" s="61"/>
      <c r="H419" s="61"/>
      <c r="I419" s="61"/>
    </row>
    <row r="420" spans="1:9" ht="15" customHeight="1" x14ac:dyDescent="0.25">
      <c r="A420" s="194"/>
      <c r="B420" s="195"/>
      <c r="C420" s="195"/>
      <c r="D420" s="195"/>
      <c r="E420" s="195"/>
      <c r="F420" s="195"/>
      <c r="G420" s="195"/>
      <c r="H420" s="195"/>
      <c r="I420" s="195"/>
    </row>
    <row r="421" spans="1:9" ht="15" customHeight="1" x14ac:dyDescent="0.25">
      <c r="A421" s="193"/>
      <c r="B421" s="61"/>
      <c r="C421" s="61"/>
      <c r="D421" s="61"/>
      <c r="E421" s="61"/>
      <c r="F421" s="61"/>
      <c r="G421" s="61"/>
      <c r="H421" s="61"/>
      <c r="I421" s="61"/>
    </row>
    <row r="422" spans="1:9" ht="15" customHeight="1" x14ac:dyDescent="0.25">
      <c r="A422" s="194"/>
      <c r="B422" s="195"/>
      <c r="C422" s="195"/>
      <c r="D422" s="195"/>
      <c r="E422" s="195"/>
      <c r="F422" s="195"/>
      <c r="G422" s="195"/>
      <c r="H422" s="195"/>
      <c r="I422" s="195"/>
    </row>
    <row r="423" spans="1:9" ht="15" customHeight="1" x14ac:dyDescent="0.25">
      <c r="A423" s="193"/>
      <c r="B423" s="61"/>
      <c r="C423" s="61"/>
      <c r="D423" s="61"/>
      <c r="E423" s="61"/>
      <c r="F423" s="61"/>
      <c r="G423" s="61"/>
      <c r="H423" s="61"/>
      <c r="I423" s="61"/>
    </row>
    <row r="424" spans="1:9" ht="15" customHeight="1" x14ac:dyDescent="0.25">
      <c r="A424" s="194"/>
      <c r="B424" s="195"/>
      <c r="C424" s="195"/>
      <c r="D424" s="195"/>
      <c r="E424" s="195"/>
      <c r="F424" s="195"/>
      <c r="G424" s="195"/>
      <c r="H424" s="195"/>
      <c r="I424" s="195"/>
    </row>
    <row r="425" spans="1:9" ht="15" customHeight="1" x14ac:dyDescent="0.25">
      <c r="A425" s="193"/>
      <c r="B425" s="61"/>
      <c r="C425" s="61"/>
      <c r="D425" s="61"/>
      <c r="E425" s="61"/>
      <c r="F425" s="61"/>
      <c r="G425" s="61"/>
      <c r="H425" s="61"/>
      <c r="I425" s="61"/>
    </row>
    <row r="426" spans="1:9" ht="15" customHeight="1" x14ac:dyDescent="0.25">
      <c r="A426" s="194"/>
      <c r="B426" s="195"/>
      <c r="C426" s="195"/>
      <c r="D426" s="195"/>
      <c r="E426" s="195"/>
      <c r="F426" s="195"/>
      <c r="G426" s="195"/>
      <c r="H426" s="195"/>
      <c r="I426" s="195"/>
    </row>
    <row r="427" spans="1:9" ht="15" customHeight="1" x14ac:dyDescent="0.25">
      <c r="A427" s="193"/>
      <c r="B427" s="61"/>
      <c r="C427" s="61"/>
      <c r="D427" s="61"/>
      <c r="E427" s="61"/>
      <c r="F427" s="61"/>
      <c r="G427" s="61"/>
      <c r="H427" s="61"/>
      <c r="I427" s="61"/>
    </row>
    <row r="428" spans="1:9" ht="15" customHeight="1" x14ac:dyDescent="0.25">
      <c r="A428" s="194"/>
      <c r="B428" s="195"/>
      <c r="C428" s="195"/>
      <c r="D428" s="195"/>
      <c r="E428" s="195"/>
      <c r="F428" s="195"/>
      <c r="G428" s="195"/>
      <c r="H428" s="195"/>
      <c r="I428" s="195"/>
    </row>
    <row r="429" spans="1:9" ht="15" customHeight="1" x14ac:dyDescent="0.25">
      <c r="A429" s="193"/>
      <c r="B429" s="61"/>
      <c r="C429" s="61"/>
      <c r="D429" s="61"/>
      <c r="E429" s="61"/>
      <c r="F429" s="61"/>
      <c r="G429" s="61"/>
      <c r="H429" s="61"/>
      <c r="I429" s="61"/>
    </row>
    <row r="430" spans="1:9" ht="15" customHeight="1" x14ac:dyDescent="0.25">
      <c r="A430" s="194"/>
      <c r="B430" s="195"/>
      <c r="C430" s="195"/>
      <c r="D430" s="195"/>
      <c r="E430" s="195"/>
      <c r="F430" s="195"/>
      <c r="G430" s="195"/>
      <c r="H430" s="195"/>
      <c r="I430" s="195"/>
    </row>
    <row r="431" spans="1:9" ht="15" customHeight="1" x14ac:dyDescent="0.25">
      <c r="A431" s="193"/>
      <c r="B431" s="61"/>
      <c r="C431" s="61"/>
      <c r="D431" s="61"/>
      <c r="E431" s="61"/>
      <c r="F431" s="61"/>
      <c r="G431" s="61"/>
      <c r="H431" s="61"/>
      <c r="I431" s="61"/>
    </row>
    <row r="432" spans="1:9" ht="15" customHeight="1" x14ac:dyDescent="0.25">
      <c r="A432" s="194"/>
      <c r="B432" s="195"/>
      <c r="C432" s="195"/>
      <c r="D432" s="195"/>
      <c r="E432" s="195"/>
      <c r="F432" s="195"/>
      <c r="G432" s="195"/>
      <c r="H432" s="195"/>
      <c r="I432" s="195"/>
    </row>
    <row r="433" spans="1:9" ht="15" customHeight="1" x14ac:dyDescent="0.25">
      <c r="A433" s="193"/>
      <c r="B433" s="61"/>
      <c r="C433" s="61"/>
      <c r="D433" s="61"/>
      <c r="E433" s="61"/>
      <c r="F433" s="61"/>
      <c r="G433" s="61"/>
      <c r="H433" s="61"/>
      <c r="I433" s="61"/>
    </row>
    <row r="434" spans="1:9" ht="15" customHeight="1" x14ac:dyDescent="0.25">
      <c r="A434" s="194"/>
      <c r="B434" s="195"/>
      <c r="C434" s="195"/>
      <c r="D434" s="195"/>
      <c r="E434" s="195"/>
      <c r="F434" s="195"/>
      <c r="G434" s="195"/>
      <c r="H434" s="195"/>
      <c r="I434" s="195"/>
    </row>
    <row r="435" spans="1:9" ht="15" customHeight="1" x14ac:dyDescent="0.25">
      <c r="A435" s="193"/>
      <c r="B435" s="61"/>
      <c r="C435" s="61"/>
      <c r="D435" s="61"/>
      <c r="E435" s="61"/>
      <c r="F435" s="61"/>
      <c r="G435" s="61"/>
      <c r="H435" s="61"/>
      <c r="I435" s="61"/>
    </row>
    <row r="436" spans="1:9" ht="15" customHeight="1" x14ac:dyDescent="0.25">
      <c r="A436" s="194"/>
      <c r="B436" s="195"/>
      <c r="C436" s="195"/>
      <c r="D436" s="195"/>
      <c r="E436" s="195"/>
      <c r="F436" s="195"/>
      <c r="G436" s="195"/>
      <c r="H436" s="195"/>
      <c r="I436" s="195"/>
    </row>
    <row r="437" spans="1:9" ht="15" customHeight="1" x14ac:dyDescent="0.25">
      <c r="A437" s="193"/>
      <c r="B437" s="61"/>
      <c r="C437" s="61"/>
      <c r="D437" s="61"/>
      <c r="E437" s="61"/>
      <c r="F437" s="61"/>
      <c r="G437" s="61"/>
      <c r="H437" s="61"/>
      <c r="I437" s="61"/>
    </row>
    <row r="438" spans="1:9" ht="15" customHeight="1" x14ac:dyDescent="0.25">
      <c r="A438" s="194"/>
      <c r="B438" s="195"/>
      <c r="C438" s="195"/>
      <c r="D438" s="195"/>
      <c r="E438" s="195"/>
      <c r="F438" s="195"/>
      <c r="G438" s="195"/>
      <c r="H438" s="195"/>
      <c r="I438" s="195"/>
    </row>
    <row r="439" spans="1:9" ht="15" customHeight="1" x14ac:dyDescent="0.25">
      <c r="A439" s="193"/>
      <c r="B439" s="61"/>
      <c r="C439" s="61"/>
      <c r="D439" s="61"/>
      <c r="E439" s="61"/>
      <c r="F439" s="61"/>
      <c r="G439" s="61"/>
      <c r="H439" s="61"/>
      <c r="I439" s="61"/>
    </row>
    <row r="440" spans="1:9" ht="15" customHeight="1" x14ac:dyDescent="0.25">
      <c r="A440" s="194"/>
      <c r="B440" s="195"/>
      <c r="C440" s="195"/>
      <c r="D440" s="195"/>
      <c r="E440" s="195"/>
      <c r="F440" s="195"/>
      <c r="G440" s="195"/>
      <c r="H440" s="195"/>
      <c r="I440" s="195"/>
    </row>
    <row r="441" spans="1:9" ht="15" customHeight="1" x14ac:dyDescent="0.25">
      <c r="A441" s="193"/>
      <c r="B441" s="61"/>
      <c r="C441" s="61"/>
      <c r="D441" s="61"/>
      <c r="E441" s="61"/>
      <c r="F441" s="61"/>
      <c r="G441" s="61"/>
      <c r="H441" s="61"/>
      <c r="I441" s="61"/>
    </row>
    <row r="442" spans="1:9" ht="15" customHeight="1" x14ac:dyDescent="0.25">
      <c r="A442" s="194"/>
      <c r="B442" s="195"/>
      <c r="C442" s="195"/>
      <c r="D442" s="195"/>
      <c r="E442" s="195"/>
      <c r="F442" s="195"/>
      <c r="G442" s="195"/>
      <c r="H442" s="195"/>
      <c r="I442" s="195"/>
    </row>
    <row r="443" spans="1:9" ht="15" customHeight="1" x14ac:dyDescent="0.25">
      <c r="A443" s="193"/>
      <c r="B443" s="61"/>
      <c r="C443" s="61"/>
      <c r="D443" s="61"/>
      <c r="E443" s="61"/>
      <c r="F443" s="61"/>
      <c r="G443" s="61"/>
      <c r="H443" s="61"/>
      <c r="I443" s="61"/>
    </row>
    <row r="444" spans="1:9" ht="15" customHeight="1" x14ac:dyDescent="0.25">
      <c r="A444" s="194"/>
      <c r="B444" s="195"/>
      <c r="C444" s="195"/>
      <c r="D444" s="195"/>
      <c r="E444" s="195"/>
      <c r="F444" s="195"/>
      <c r="G444" s="195"/>
      <c r="H444" s="195"/>
      <c r="I444" s="195"/>
    </row>
    <row r="445" spans="1:9" ht="15" customHeight="1" x14ac:dyDescent="0.25">
      <c r="A445" s="193"/>
      <c r="B445" s="61"/>
      <c r="C445" s="61"/>
      <c r="D445" s="61"/>
      <c r="E445" s="61"/>
      <c r="F445" s="61"/>
      <c r="G445" s="61"/>
      <c r="H445" s="61"/>
      <c r="I445" s="61"/>
    </row>
    <row r="446" spans="1:9" ht="15" customHeight="1" x14ac:dyDescent="0.25">
      <c r="A446" s="194"/>
      <c r="B446" s="195"/>
      <c r="C446" s="195"/>
      <c r="D446" s="195"/>
      <c r="E446" s="195"/>
      <c r="F446" s="195"/>
      <c r="G446" s="195"/>
      <c r="H446" s="195"/>
      <c r="I446" s="195"/>
    </row>
    <row r="447" spans="1:9" ht="15" customHeight="1" x14ac:dyDescent="0.25">
      <c r="A447" s="193"/>
      <c r="B447" s="61"/>
      <c r="C447" s="61"/>
      <c r="D447" s="61"/>
      <c r="E447" s="61"/>
      <c r="F447" s="61"/>
      <c r="G447" s="61"/>
      <c r="H447" s="61"/>
      <c r="I447" s="61"/>
    </row>
    <row r="448" spans="1:9" ht="15" customHeight="1" x14ac:dyDescent="0.25">
      <c r="A448" s="194"/>
      <c r="B448" s="195"/>
      <c r="C448" s="195"/>
      <c r="D448" s="195"/>
      <c r="E448" s="195"/>
      <c r="F448" s="195"/>
      <c r="G448" s="195"/>
      <c r="H448" s="195"/>
      <c r="I448" s="195"/>
    </row>
    <row r="449" spans="1:9" ht="15" customHeight="1" x14ac:dyDescent="0.25">
      <c r="A449" s="193"/>
      <c r="B449" s="61"/>
      <c r="C449" s="61"/>
      <c r="D449" s="61"/>
      <c r="E449" s="61"/>
      <c r="F449" s="61"/>
      <c r="G449" s="61"/>
      <c r="H449" s="61"/>
      <c r="I449" s="61"/>
    </row>
    <row r="450" spans="1:9" ht="15" customHeight="1" x14ac:dyDescent="0.25">
      <c r="A450" s="194"/>
      <c r="B450" s="195"/>
      <c r="C450" s="195"/>
      <c r="D450" s="195"/>
      <c r="E450" s="195"/>
      <c r="F450" s="195"/>
      <c r="G450" s="195"/>
      <c r="H450" s="195"/>
      <c r="I450" s="195"/>
    </row>
    <row r="451" spans="1:9" ht="15" customHeight="1" x14ac:dyDescent="0.25">
      <c r="A451" s="193"/>
      <c r="B451" s="61"/>
      <c r="C451" s="61"/>
      <c r="D451" s="61"/>
      <c r="E451" s="61"/>
      <c r="F451" s="61"/>
      <c r="G451" s="61"/>
      <c r="H451" s="61"/>
      <c r="I451" s="61"/>
    </row>
    <row r="452" spans="1:9" ht="15" customHeight="1" x14ac:dyDescent="0.25">
      <c r="A452" s="194"/>
      <c r="B452" s="195"/>
      <c r="C452" s="195"/>
      <c r="D452" s="195"/>
      <c r="E452" s="195"/>
      <c r="F452" s="195"/>
      <c r="G452" s="195"/>
      <c r="H452" s="195"/>
      <c r="I452" s="195"/>
    </row>
    <row r="453" spans="1:9" ht="15" customHeight="1" x14ac:dyDescent="0.25">
      <c r="A453" s="193"/>
      <c r="B453" s="61"/>
      <c r="C453" s="61"/>
      <c r="D453" s="61"/>
      <c r="E453" s="61"/>
      <c r="F453" s="61"/>
      <c r="G453" s="61"/>
      <c r="H453" s="61"/>
      <c r="I453" s="61"/>
    </row>
    <row r="454" spans="1:9" ht="15" customHeight="1" x14ac:dyDescent="0.25">
      <c r="A454" s="194"/>
      <c r="B454" s="195"/>
      <c r="C454" s="195"/>
      <c r="D454" s="195"/>
      <c r="E454" s="195"/>
      <c r="F454" s="195"/>
      <c r="G454" s="195"/>
      <c r="H454" s="195"/>
      <c r="I454" s="195"/>
    </row>
    <row r="455" spans="1:9" ht="15" customHeight="1" x14ac:dyDescent="0.25">
      <c r="A455" s="193"/>
      <c r="B455" s="61"/>
      <c r="C455" s="61"/>
      <c r="D455" s="61"/>
      <c r="E455" s="61"/>
      <c r="F455" s="61"/>
      <c r="G455" s="61"/>
      <c r="H455" s="61"/>
      <c r="I455" s="61"/>
    </row>
    <row r="456" spans="1:9" ht="15" customHeight="1" x14ac:dyDescent="0.25">
      <c r="A456" s="194"/>
      <c r="B456" s="195"/>
      <c r="C456" s="195"/>
      <c r="D456" s="195"/>
      <c r="E456" s="195"/>
      <c r="F456" s="195"/>
      <c r="G456" s="195"/>
      <c r="H456" s="195"/>
      <c r="I456" s="195"/>
    </row>
    <row r="457" spans="1:9" ht="15" customHeight="1" x14ac:dyDescent="0.25">
      <c r="A457" s="193"/>
      <c r="B457" s="61"/>
      <c r="C457" s="61"/>
      <c r="D457" s="61"/>
      <c r="E457" s="61"/>
      <c r="F457" s="61"/>
      <c r="G457" s="61"/>
      <c r="H457" s="61"/>
      <c r="I457" s="61"/>
    </row>
    <row r="458" spans="1:9" ht="15" customHeight="1" x14ac:dyDescent="0.25">
      <c r="A458" s="194"/>
      <c r="B458" s="195"/>
      <c r="C458" s="195"/>
      <c r="D458" s="195"/>
      <c r="E458" s="195"/>
      <c r="F458" s="195"/>
      <c r="G458" s="195"/>
      <c r="H458" s="195"/>
      <c r="I458" s="195"/>
    </row>
    <row r="459" spans="1:9" ht="15" customHeight="1" x14ac:dyDescent="0.25">
      <c r="A459" s="193"/>
      <c r="B459" s="61"/>
      <c r="C459" s="61"/>
      <c r="D459" s="61"/>
      <c r="E459" s="61"/>
      <c r="F459" s="61"/>
      <c r="G459" s="61"/>
      <c r="H459" s="61"/>
      <c r="I459" s="61"/>
    </row>
    <row r="460" spans="1:9" ht="15" customHeight="1" x14ac:dyDescent="0.25">
      <c r="A460" s="194"/>
      <c r="B460" s="195"/>
      <c r="C460" s="195"/>
      <c r="D460" s="195"/>
      <c r="E460" s="195"/>
      <c r="F460" s="195"/>
      <c r="G460" s="195"/>
      <c r="H460" s="195"/>
      <c r="I460" s="195"/>
    </row>
    <row r="461" spans="1:9" ht="15" customHeight="1" x14ac:dyDescent="0.25">
      <c r="A461" s="193"/>
      <c r="B461" s="61"/>
      <c r="C461" s="61"/>
      <c r="D461" s="61"/>
      <c r="E461" s="61"/>
      <c r="F461" s="61"/>
      <c r="G461" s="61"/>
      <c r="H461" s="61"/>
      <c r="I461" s="61"/>
    </row>
    <row r="462" spans="1:9" ht="15" customHeight="1" x14ac:dyDescent="0.25">
      <c r="A462" s="194"/>
      <c r="B462" s="195"/>
      <c r="C462" s="195"/>
      <c r="D462" s="195"/>
      <c r="E462" s="195"/>
      <c r="F462" s="195"/>
      <c r="G462" s="195"/>
      <c r="H462" s="195"/>
      <c r="I462" s="195"/>
    </row>
    <row r="463" spans="1:9" ht="15" customHeight="1" x14ac:dyDescent="0.25">
      <c r="A463" s="193"/>
      <c r="B463" s="61"/>
      <c r="C463" s="61"/>
      <c r="D463" s="61"/>
      <c r="E463" s="61"/>
      <c r="F463" s="61"/>
      <c r="G463" s="61"/>
      <c r="H463" s="61"/>
      <c r="I463" s="61"/>
    </row>
    <row r="464" spans="1:9" ht="15" customHeight="1" x14ac:dyDescent="0.25">
      <c r="A464" s="194"/>
      <c r="B464" s="195"/>
      <c r="C464" s="195"/>
      <c r="D464" s="195"/>
      <c r="E464" s="195"/>
      <c r="F464" s="195"/>
      <c r="G464" s="195"/>
      <c r="H464" s="195"/>
      <c r="I464" s="195"/>
    </row>
    <row r="465" spans="1:9" ht="15" customHeight="1" x14ac:dyDescent="0.25">
      <c r="A465" s="193"/>
      <c r="B465" s="61"/>
      <c r="C465" s="61"/>
      <c r="D465" s="61"/>
      <c r="E465" s="61"/>
      <c r="F465" s="61"/>
      <c r="G465" s="61"/>
      <c r="H465" s="61"/>
      <c r="I465" s="61"/>
    </row>
    <row r="466" spans="1:9" ht="15" customHeight="1" x14ac:dyDescent="0.25">
      <c r="A466" s="194"/>
      <c r="B466" s="195"/>
      <c r="C466" s="195"/>
      <c r="D466" s="195"/>
      <c r="E466" s="195"/>
      <c r="F466" s="195"/>
      <c r="G466" s="195"/>
      <c r="H466" s="195"/>
      <c r="I466" s="195"/>
    </row>
    <row r="467" spans="1:9" ht="15" customHeight="1" x14ac:dyDescent="0.25">
      <c r="A467" s="193"/>
      <c r="B467" s="61"/>
      <c r="C467" s="61"/>
      <c r="D467" s="61"/>
      <c r="E467" s="61"/>
      <c r="F467" s="61"/>
      <c r="G467" s="61"/>
      <c r="H467" s="61"/>
      <c r="I467" s="61"/>
    </row>
    <row r="468" spans="1:9" ht="15" customHeight="1" x14ac:dyDescent="0.25">
      <c r="A468" s="194"/>
      <c r="B468" s="195"/>
      <c r="C468" s="195"/>
      <c r="D468" s="195"/>
      <c r="E468" s="195"/>
      <c r="F468" s="195"/>
      <c r="G468" s="195"/>
      <c r="H468" s="195"/>
      <c r="I468" s="195"/>
    </row>
    <row r="469" spans="1:9" ht="15" customHeight="1" x14ac:dyDescent="0.25">
      <c r="A469" s="193"/>
      <c r="B469" s="61"/>
      <c r="C469" s="61"/>
      <c r="D469" s="61"/>
      <c r="E469" s="61"/>
      <c r="F469" s="61"/>
      <c r="G469" s="61"/>
      <c r="H469" s="61"/>
      <c r="I469" s="61"/>
    </row>
    <row r="470" spans="1:9" ht="15" customHeight="1" x14ac:dyDescent="0.25">
      <c r="A470" s="194"/>
      <c r="B470" s="195"/>
      <c r="C470" s="195"/>
      <c r="D470" s="195"/>
      <c r="E470" s="195"/>
      <c r="F470" s="195"/>
      <c r="G470" s="195"/>
      <c r="H470" s="195"/>
      <c r="I470" s="195"/>
    </row>
    <row r="471" spans="1:9" ht="15" customHeight="1" x14ac:dyDescent="0.25">
      <c r="A471" s="193"/>
      <c r="B471" s="61"/>
      <c r="C471" s="61"/>
      <c r="D471" s="61"/>
      <c r="E471" s="61"/>
      <c r="F471" s="61"/>
      <c r="G471" s="61"/>
      <c r="H471" s="61"/>
      <c r="I471" s="61"/>
    </row>
    <row r="472" spans="1:9" ht="15" customHeight="1" x14ac:dyDescent="0.25">
      <c r="A472" s="194"/>
      <c r="B472" s="195"/>
      <c r="C472" s="195"/>
      <c r="D472" s="195"/>
      <c r="E472" s="195"/>
      <c r="F472" s="195"/>
      <c r="G472" s="195"/>
      <c r="H472" s="195"/>
      <c r="I472" s="195"/>
    </row>
    <row r="473" spans="1:9" ht="15" customHeight="1" x14ac:dyDescent="0.25">
      <c r="A473" s="193"/>
      <c r="B473" s="61"/>
      <c r="C473" s="61"/>
      <c r="D473" s="61"/>
      <c r="E473" s="61"/>
      <c r="F473" s="61"/>
      <c r="G473" s="61"/>
      <c r="H473" s="61"/>
      <c r="I473" s="61"/>
    </row>
    <row r="474" spans="1:9" ht="15" customHeight="1" x14ac:dyDescent="0.25">
      <c r="A474" s="194"/>
      <c r="B474" s="195"/>
      <c r="C474" s="195"/>
      <c r="D474" s="195"/>
      <c r="E474" s="195"/>
      <c r="F474" s="195"/>
      <c r="G474" s="195"/>
      <c r="H474" s="195"/>
      <c r="I474" s="195"/>
    </row>
    <row r="475" spans="1:9" ht="15" customHeight="1" x14ac:dyDescent="0.25">
      <c r="A475" s="193"/>
      <c r="B475" s="61"/>
      <c r="C475" s="61"/>
      <c r="D475" s="61"/>
      <c r="E475" s="61"/>
      <c r="F475" s="61"/>
      <c r="G475" s="61"/>
      <c r="H475" s="61"/>
      <c r="I475" s="61"/>
    </row>
    <row r="476" spans="1:9" ht="15" customHeight="1" x14ac:dyDescent="0.25">
      <c r="A476" s="194"/>
      <c r="B476" s="195"/>
      <c r="C476" s="195"/>
      <c r="D476" s="195"/>
      <c r="E476" s="195"/>
      <c r="F476" s="195"/>
      <c r="G476" s="195"/>
      <c r="H476" s="195"/>
      <c r="I476" s="195"/>
    </row>
    <row r="477" spans="1:9" ht="15" customHeight="1" x14ac:dyDescent="0.25">
      <c r="A477" s="193"/>
      <c r="B477" s="61"/>
      <c r="C477" s="61"/>
      <c r="D477" s="61"/>
      <c r="E477" s="61"/>
      <c r="F477" s="61"/>
      <c r="G477" s="61"/>
      <c r="H477" s="61"/>
      <c r="I477" s="61"/>
    </row>
    <row r="478" spans="1:9" ht="15" customHeight="1" x14ac:dyDescent="0.25">
      <c r="A478" s="194"/>
      <c r="B478" s="195"/>
      <c r="C478" s="195"/>
      <c r="D478" s="195"/>
      <c r="E478" s="195"/>
      <c r="F478" s="195"/>
      <c r="G478" s="195"/>
      <c r="H478" s="195"/>
      <c r="I478" s="195"/>
    </row>
    <row r="479" spans="1:9" ht="15" customHeight="1" x14ac:dyDescent="0.25">
      <c r="A479" s="193"/>
      <c r="B479" s="61"/>
      <c r="C479" s="61"/>
      <c r="D479" s="61"/>
      <c r="E479" s="61"/>
      <c r="F479" s="61"/>
      <c r="G479" s="61"/>
      <c r="H479" s="61"/>
      <c r="I479" s="61"/>
    </row>
    <row r="480" spans="1:9" ht="15" customHeight="1" x14ac:dyDescent="0.25">
      <c r="A480" s="194"/>
      <c r="B480" s="195"/>
      <c r="C480" s="195"/>
      <c r="D480" s="195"/>
      <c r="E480" s="195"/>
      <c r="F480" s="195"/>
      <c r="G480" s="195"/>
      <c r="H480" s="195"/>
      <c r="I480" s="195"/>
    </row>
    <row r="481" spans="1:9" ht="15" customHeight="1" x14ac:dyDescent="0.25">
      <c r="A481" s="193"/>
      <c r="B481" s="61"/>
      <c r="C481" s="61"/>
      <c r="D481" s="61"/>
      <c r="E481" s="61"/>
      <c r="F481" s="61"/>
      <c r="G481" s="61"/>
      <c r="H481" s="61"/>
      <c r="I481" s="61"/>
    </row>
    <row r="482" spans="1:9" ht="15" customHeight="1" x14ac:dyDescent="0.25">
      <c r="A482" s="194"/>
      <c r="B482" s="195"/>
      <c r="C482" s="195"/>
      <c r="D482" s="195"/>
      <c r="E482" s="195"/>
      <c r="F482" s="195"/>
      <c r="G482" s="195"/>
      <c r="H482" s="195"/>
      <c r="I482" s="195"/>
    </row>
    <row r="483" spans="1:9" ht="15" customHeight="1" x14ac:dyDescent="0.25">
      <c r="A483" s="193"/>
      <c r="B483" s="61"/>
      <c r="C483" s="61"/>
      <c r="D483" s="61"/>
      <c r="E483" s="61"/>
      <c r="F483" s="61"/>
      <c r="G483" s="61"/>
      <c r="H483" s="61"/>
      <c r="I483" s="61"/>
    </row>
    <row r="484" spans="1:9" ht="15" customHeight="1" x14ac:dyDescent="0.25">
      <c r="A484" s="194"/>
      <c r="B484" s="195"/>
      <c r="C484" s="195"/>
      <c r="D484" s="195"/>
      <c r="E484" s="195"/>
      <c r="F484" s="195"/>
      <c r="G484" s="195"/>
      <c r="H484" s="195"/>
      <c r="I484" s="195"/>
    </row>
    <row r="485" spans="1:9" ht="15" customHeight="1" x14ac:dyDescent="0.25">
      <c r="A485" s="193"/>
      <c r="B485" s="61"/>
      <c r="C485" s="61"/>
      <c r="D485" s="61"/>
      <c r="E485" s="61"/>
      <c r="F485" s="61"/>
      <c r="G485" s="61"/>
      <c r="H485" s="61"/>
      <c r="I485" s="61"/>
    </row>
    <row r="486" spans="1:9" ht="15" customHeight="1" x14ac:dyDescent="0.25">
      <c r="A486" s="194"/>
      <c r="B486" s="195"/>
      <c r="C486" s="195"/>
      <c r="D486" s="195"/>
      <c r="E486" s="195"/>
      <c r="F486" s="195"/>
      <c r="G486" s="195"/>
      <c r="H486" s="195"/>
      <c r="I486" s="195"/>
    </row>
    <row r="487" spans="1:9" ht="15" customHeight="1" x14ac:dyDescent="0.25">
      <c r="A487" s="193"/>
      <c r="B487" s="61"/>
      <c r="C487" s="61"/>
      <c r="D487" s="61"/>
      <c r="E487" s="61"/>
      <c r="F487" s="61"/>
      <c r="G487" s="61"/>
      <c r="H487" s="61"/>
      <c r="I487" s="61"/>
    </row>
    <row r="488" spans="1:9" ht="15" customHeight="1" x14ac:dyDescent="0.25">
      <c r="A488" s="194"/>
      <c r="B488" s="195"/>
      <c r="C488" s="195"/>
      <c r="D488" s="195"/>
      <c r="E488" s="195"/>
      <c r="F488" s="195"/>
      <c r="G488" s="195"/>
      <c r="H488" s="195"/>
      <c r="I488" s="195"/>
    </row>
    <row r="489" spans="1:9" ht="15" customHeight="1" x14ac:dyDescent="0.25">
      <c r="A489" s="193"/>
      <c r="B489" s="61"/>
      <c r="C489" s="61"/>
      <c r="D489" s="61"/>
      <c r="E489" s="61"/>
      <c r="F489" s="61"/>
      <c r="G489" s="61"/>
      <c r="H489" s="61"/>
      <c r="I489" s="61"/>
    </row>
    <row r="490" spans="1:9" ht="15" customHeight="1" x14ac:dyDescent="0.25">
      <c r="A490" s="194"/>
      <c r="B490" s="195"/>
      <c r="C490" s="195"/>
      <c r="D490" s="195"/>
      <c r="E490" s="195"/>
      <c r="F490" s="195"/>
      <c r="G490" s="195"/>
      <c r="H490" s="195"/>
      <c r="I490" s="195"/>
    </row>
    <row r="491" spans="1:9" ht="15" customHeight="1" x14ac:dyDescent="0.25">
      <c r="A491" s="193"/>
      <c r="B491" s="61"/>
      <c r="C491" s="61"/>
      <c r="D491" s="61"/>
      <c r="E491" s="61"/>
      <c r="F491" s="61"/>
      <c r="G491" s="61"/>
      <c r="H491" s="61"/>
      <c r="I491" s="61"/>
    </row>
    <row r="492" spans="1:9" ht="15" customHeight="1" x14ac:dyDescent="0.25">
      <c r="A492" s="194"/>
      <c r="B492" s="195"/>
      <c r="C492" s="195"/>
      <c r="D492" s="195"/>
      <c r="E492" s="195"/>
      <c r="F492" s="195"/>
      <c r="G492" s="195"/>
      <c r="H492" s="195"/>
      <c r="I492" s="195"/>
    </row>
    <row r="493" spans="1:9" ht="15" customHeight="1" x14ac:dyDescent="0.25">
      <c r="A493" s="193"/>
      <c r="B493" s="61"/>
      <c r="C493" s="61"/>
      <c r="D493" s="61"/>
      <c r="E493" s="61"/>
      <c r="F493" s="61"/>
      <c r="G493" s="61"/>
      <c r="H493" s="61"/>
      <c r="I493" s="61"/>
    </row>
    <row r="494" spans="1:9" ht="15" customHeight="1" x14ac:dyDescent="0.25">
      <c r="A494" s="194"/>
      <c r="B494" s="195"/>
      <c r="C494" s="195"/>
      <c r="D494" s="195"/>
      <c r="E494" s="195"/>
      <c r="F494" s="195"/>
      <c r="G494" s="195"/>
      <c r="H494" s="195"/>
      <c r="I494" s="195"/>
    </row>
    <row r="495" spans="1:9" ht="15" customHeight="1" x14ac:dyDescent="0.25">
      <c r="A495" s="193"/>
      <c r="B495" s="61"/>
      <c r="C495" s="61"/>
      <c r="D495" s="61"/>
      <c r="E495" s="61"/>
      <c r="F495" s="61"/>
      <c r="G495" s="61"/>
      <c r="H495" s="61"/>
      <c r="I495" s="61"/>
    </row>
    <row r="496" spans="1:9" ht="15" customHeight="1" x14ac:dyDescent="0.25">
      <c r="A496" s="194"/>
      <c r="B496" s="195"/>
      <c r="C496" s="195"/>
      <c r="D496" s="195"/>
      <c r="E496" s="195"/>
      <c r="F496" s="195"/>
      <c r="G496" s="195"/>
      <c r="H496" s="195"/>
      <c r="I496" s="195"/>
    </row>
    <row r="497" spans="1:9" ht="15" customHeight="1" x14ac:dyDescent="0.25">
      <c r="A497" s="193"/>
      <c r="B497" s="61"/>
      <c r="C497" s="61"/>
      <c r="D497" s="61"/>
      <c r="E497" s="61"/>
      <c r="F497" s="61"/>
      <c r="G497" s="61"/>
      <c r="H497" s="61"/>
      <c r="I497" s="61"/>
    </row>
    <row r="498" spans="1:9" ht="15" customHeight="1" x14ac:dyDescent="0.25">
      <c r="A498" s="194"/>
      <c r="B498" s="195"/>
      <c r="C498" s="195"/>
      <c r="D498" s="195"/>
      <c r="E498" s="195"/>
      <c r="F498" s="195"/>
      <c r="G498" s="195"/>
      <c r="H498" s="195"/>
      <c r="I498" s="195"/>
    </row>
    <row r="499" spans="1:9" ht="15" customHeight="1" x14ac:dyDescent="0.25">
      <c r="A499" s="193"/>
      <c r="B499" s="61"/>
      <c r="C499" s="61"/>
      <c r="D499" s="61"/>
      <c r="E499" s="61"/>
      <c r="F499" s="61"/>
      <c r="G499" s="61"/>
      <c r="H499" s="61"/>
      <c r="I499" s="61"/>
    </row>
    <row r="500" spans="1:9" ht="15" customHeight="1" x14ac:dyDescent="0.25">
      <c r="A500" s="194"/>
      <c r="B500" s="195"/>
      <c r="C500" s="195"/>
      <c r="D500" s="195"/>
      <c r="E500" s="195"/>
      <c r="F500" s="195"/>
      <c r="G500" s="195"/>
      <c r="H500" s="195"/>
      <c r="I500" s="195"/>
    </row>
    <row r="501" spans="1:9" ht="15" customHeight="1" x14ac:dyDescent="0.25">
      <c r="A501" s="193"/>
      <c r="B501" s="61"/>
      <c r="C501" s="61"/>
      <c r="D501" s="61"/>
      <c r="E501" s="61"/>
      <c r="F501" s="61"/>
      <c r="G501" s="61"/>
      <c r="H501" s="61"/>
      <c r="I501" s="61"/>
    </row>
    <row r="502" spans="1:9" ht="15" customHeight="1" x14ac:dyDescent="0.25">
      <c r="A502" s="194"/>
      <c r="B502" s="195"/>
      <c r="C502" s="195"/>
      <c r="D502" s="195"/>
      <c r="E502" s="195"/>
      <c r="F502" s="195"/>
      <c r="G502" s="195"/>
      <c r="H502" s="195"/>
      <c r="I502" s="195"/>
    </row>
    <row r="503" spans="1:9" ht="15" customHeight="1" x14ac:dyDescent="0.25">
      <c r="A503" s="193"/>
      <c r="B503" s="61"/>
      <c r="C503" s="61"/>
      <c r="D503" s="61"/>
      <c r="E503" s="61"/>
      <c r="F503" s="61"/>
      <c r="G503" s="61"/>
      <c r="H503" s="61"/>
      <c r="I503" s="61"/>
    </row>
    <row r="504" spans="1:9" ht="15" customHeight="1" x14ac:dyDescent="0.25">
      <c r="A504" s="194"/>
      <c r="B504" s="195"/>
      <c r="C504" s="195"/>
      <c r="D504" s="195"/>
      <c r="E504" s="195"/>
      <c r="F504" s="195"/>
      <c r="G504" s="195"/>
      <c r="H504" s="195"/>
      <c r="I504" s="195"/>
    </row>
    <row r="505" spans="1:9" ht="15" customHeight="1" x14ac:dyDescent="0.25">
      <c r="A505" s="193"/>
      <c r="B505" s="61"/>
      <c r="C505" s="61"/>
      <c r="D505" s="61"/>
      <c r="E505" s="61"/>
      <c r="F505" s="61"/>
      <c r="G505" s="61"/>
      <c r="H505" s="61"/>
      <c r="I505" s="61"/>
    </row>
    <row r="506" spans="1:9" ht="15" customHeight="1" x14ac:dyDescent="0.25">
      <c r="A506" s="194"/>
      <c r="B506" s="195"/>
      <c r="C506" s="195"/>
      <c r="D506" s="195"/>
      <c r="E506" s="195"/>
      <c r="F506" s="195"/>
      <c r="G506" s="195"/>
      <c r="H506" s="195"/>
      <c r="I506" s="195"/>
    </row>
    <row r="507" spans="1:9" ht="15" customHeight="1" x14ac:dyDescent="0.25">
      <c r="A507" s="193"/>
      <c r="B507" s="61"/>
      <c r="C507" s="61"/>
      <c r="D507" s="61"/>
      <c r="E507" s="61"/>
      <c r="F507" s="61"/>
      <c r="G507" s="61"/>
      <c r="H507" s="61"/>
      <c r="I507" s="61"/>
    </row>
    <row r="508" spans="1:9" ht="15" customHeight="1" x14ac:dyDescent="0.25">
      <c r="A508" s="194"/>
      <c r="B508" s="195"/>
      <c r="C508" s="195"/>
      <c r="D508" s="195"/>
      <c r="E508" s="195"/>
      <c r="F508" s="195"/>
      <c r="G508" s="195"/>
      <c r="H508" s="195"/>
      <c r="I508" s="195"/>
    </row>
    <row r="509" spans="1:9" ht="15" customHeight="1" x14ac:dyDescent="0.25">
      <c r="A509" s="193"/>
      <c r="B509" s="61"/>
      <c r="C509" s="61"/>
      <c r="D509" s="61"/>
      <c r="E509" s="61"/>
      <c r="F509" s="61"/>
      <c r="G509" s="61"/>
      <c r="H509" s="61"/>
      <c r="I509" s="61"/>
    </row>
    <row r="510" spans="1:9" ht="15" customHeight="1" x14ac:dyDescent="0.25">
      <c r="A510" s="194"/>
      <c r="B510" s="195"/>
      <c r="C510" s="195"/>
      <c r="D510" s="195"/>
      <c r="E510" s="195"/>
      <c r="F510" s="195"/>
      <c r="G510" s="195"/>
      <c r="H510" s="195"/>
      <c r="I510" s="195"/>
    </row>
    <row r="511" spans="1:9" ht="15" customHeight="1" x14ac:dyDescent="0.25">
      <c r="A511" s="193"/>
      <c r="B511" s="61"/>
      <c r="C511" s="61"/>
      <c r="D511" s="61"/>
      <c r="E511" s="61"/>
      <c r="F511" s="61"/>
      <c r="G511" s="61"/>
      <c r="H511" s="61"/>
      <c r="I511" s="61"/>
    </row>
    <row r="512" spans="1:9" ht="15" customHeight="1" x14ac:dyDescent="0.25">
      <c r="A512" s="194"/>
      <c r="B512" s="195"/>
      <c r="C512" s="195"/>
      <c r="D512" s="195"/>
      <c r="E512" s="195"/>
      <c r="F512" s="195"/>
      <c r="G512" s="195"/>
      <c r="H512" s="195"/>
      <c r="I512" s="195"/>
    </row>
    <row r="513" spans="1:9" ht="15" customHeight="1" x14ac:dyDescent="0.25">
      <c r="A513" s="193"/>
      <c r="B513" s="61"/>
      <c r="C513" s="61"/>
      <c r="D513" s="61"/>
      <c r="E513" s="61"/>
      <c r="F513" s="61"/>
      <c r="G513" s="61"/>
      <c r="H513" s="61"/>
      <c r="I513" s="61"/>
    </row>
    <row r="514" spans="1:9" ht="15" customHeight="1" x14ac:dyDescent="0.25">
      <c r="A514" s="194"/>
      <c r="B514" s="195"/>
      <c r="C514" s="195"/>
      <c r="D514" s="195"/>
      <c r="E514" s="195"/>
      <c r="F514" s="195"/>
      <c r="G514" s="195"/>
      <c r="H514" s="195"/>
      <c r="I514" s="195"/>
    </row>
    <row r="515" spans="1:9" ht="15" customHeight="1" x14ac:dyDescent="0.25">
      <c r="A515" s="193"/>
      <c r="B515" s="61"/>
      <c r="C515" s="61"/>
      <c r="D515" s="61"/>
      <c r="E515" s="61"/>
      <c r="F515" s="61"/>
      <c r="G515" s="61"/>
      <c r="H515" s="61"/>
      <c r="I515" s="61"/>
    </row>
    <row r="516" spans="1:9" ht="15" customHeight="1" x14ac:dyDescent="0.25">
      <c r="A516" s="194"/>
      <c r="B516" s="195"/>
      <c r="C516" s="195"/>
      <c r="D516" s="195"/>
      <c r="E516" s="195"/>
      <c r="F516" s="195"/>
      <c r="G516" s="195"/>
      <c r="H516" s="195"/>
      <c r="I516" s="195"/>
    </row>
    <row r="517" spans="1:9" ht="15" customHeight="1" x14ac:dyDescent="0.25">
      <c r="A517" s="193"/>
      <c r="B517" s="61"/>
      <c r="C517" s="61"/>
      <c r="D517" s="61"/>
      <c r="E517" s="61"/>
      <c r="F517" s="61"/>
      <c r="G517" s="61"/>
      <c r="H517" s="61"/>
      <c r="I517" s="61"/>
    </row>
    <row r="518" spans="1:9" ht="15" customHeight="1" x14ac:dyDescent="0.25">
      <c r="A518" s="194"/>
      <c r="B518" s="195"/>
      <c r="C518" s="195"/>
      <c r="D518" s="195"/>
      <c r="E518" s="195"/>
      <c r="F518" s="195"/>
      <c r="G518" s="195"/>
      <c r="H518" s="195"/>
      <c r="I518" s="195"/>
    </row>
    <row r="519" spans="1:9" ht="15" customHeight="1" x14ac:dyDescent="0.25">
      <c r="A519" s="193"/>
      <c r="B519" s="61"/>
      <c r="C519" s="61"/>
      <c r="D519" s="61"/>
      <c r="E519" s="61"/>
      <c r="F519" s="61"/>
      <c r="G519" s="61"/>
      <c r="H519" s="61"/>
      <c r="I519" s="61"/>
    </row>
    <row r="520" spans="1:9" ht="15" customHeight="1" x14ac:dyDescent="0.25">
      <c r="A520" s="194"/>
      <c r="B520" s="195"/>
      <c r="C520" s="195"/>
      <c r="D520" s="195"/>
      <c r="E520" s="195"/>
      <c r="F520" s="195"/>
      <c r="G520" s="195"/>
      <c r="H520" s="195"/>
      <c r="I520" s="195"/>
    </row>
    <row r="521" spans="1:9" ht="15" customHeight="1" x14ac:dyDescent="0.25">
      <c r="A521" s="193"/>
      <c r="B521" s="61"/>
      <c r="C521" s="61"/>
      <c r="D521" s="61"/>
      <c r="E521" s="61"/>
      <c r="F521" s="61"/>
      <c r="G521" s="61"/>
      <c r="H521" s="61"/>
      <c r="I521" s="61"/>
    </row>
    <row r="522" spans="1:9" ht="15" customHeight="1" x14ac:dyDescent="0.25">
      <c r="A522" s="194"/>
      <c r="B522" s="195"/>
      <c r="C522" s="195"/>
      <c r="D522" s="195"/>
      <c r="E522" s="195"/>
      <c r="F522" s="195"/>
      <c r="G522" s="195"/>
      <c r="H522" s="195"/>
      <c r="I522" s="195"/>
    </row>
    <row r="523" spans="1:9" ht="15" customHeight="1" x14ac:dyDescent="0.25">
      <c r="A523" s="193"/>
      <c r="B523" s="61"/>
      <c r="C523" s="61"/>
      <c r="D523" s="61"/>
      <c r="E523" s="61"/>
      <c r="F523" s="61"/>
      <c r="G523" s="61"/>
      <c r="H523" s="61"/>
      <c r="I523" s="61"/>
    </row>
    <row r="524" spans="1:9" ht="15" customHeight="1" x14ac:dyDescent="0.25">
      <c r="A524" s="194"/>
      <c r="B524" s="195"/>
      <c r="C524" s="195"/>
      <c r="D524" s="195"/>
      <c r="E524" s="195"/>
      <c r="F524" s="195"/>
      <c r="G524" s="195"/>
      <c r="H524" s="195"/>
      <c r="I524" s="195"/>
    </row>
    <row r="525" spans="1:9" ht="15" customHeight="1" x14ac:dyDescent="0.25">
      <c r="A525" s="193"/>
      <c r="B525" s="61"/>
      <c r="C525" s="61"/>
      <c r="D525" s="61"/>
      <c r="E525" s="61"/>
      <c r="F525" s="61"/>
      <c r="G525" s="61"/>
      <c r="H525" s="61"/>
      <c r="I525" s="61"/>
    </row>
    <row r="526" spans="1:9" ht="15" customHeight="1" x14ac:dyDescent="0.25">
      <c r="A526" s="194"/>
      <c r="B526" s="195"/>
      <c r="C526" s="195"/>
      <c r="D526" s="195"/>
      <c r="E526" s="195"/>
      <c r="F526" s="195"/>
      <c r="G526" s="195"/>
      <c r="H526" s="195"/>
      <c r="I526" s="195"/>
    </row>
    <row r="527" spans="1:9" ht="15" customHeight="1" x14ac:dyDescent="0.25">
      <c r="A527" s="193"/>
      <c r="B527" s="61"/>
      <c r="C527" s="61"/>
      <c r="D527" s="61"/>
      <c r="E527" s="61"/>
      <c r="F527" s="61"/>
      <c r="G527" s="61"/>
      <c r="H527" s="61"/>
      <c r="I527" s="61"/>
    </row>
    <row r="528" spans="1:9" ht="15" customHeight="1" x14ac:dyDescent="0.25">
      <c r="A528" s="194"/>
      <c r="B528" s="195"/>
      <c r="C528" s="195"/>
      <c r="D528" s="195"/>
      <c r="E528" s="195"/>
      <c r="F528" s="195"/>
      <c r="G528" s="195"/>
      <c r="H528" s="195"/>
      <c r="I528" s="195"/>
    </row>
    <row r="529" spans="1:9" ht="15" customHeight="1" x14ac:dyDescent="0.25">
      <c r="A529" s="193"/>
      <c r="B529" s="61"/>
      <c r="C529" s="61"/>
      <c r="D529" s="61"/>
      <c r="E529" s="61"/>
      <c r="F529" s="61"/>
      <c r="G529" s="61"/>
      <c r="H529" s="61"/>
      <c r="I529" s="61"/>
    </row>
    <row r="530" spans="1:9" ht="15" customHeight="1" x14ac:dyDescent="0.25">
      <c r="A530" s="194"/>
      <c r="B530" s="195"/>
      <c r="C530" s="195"/>
      <c r="D530" s="195"/>
      <c r="E530" s="195"/>
      <c r="F530" s="195"/>
      <c r="G530" s="195"/>
      <c r="H530" s="195"/>
      <c r="I530" s="195"/>
    </row>
    <row r="531" spans="1:9" ht="15" customHeight="1" x14ac:dyDescent="0.25">
      <c r="A531" s="193"/>
      <c r="B531" s="61"/>
      <c r="C531" s="61"/>
      <c r="D531" s="61"/>
      <c r="E531" s="61"/>
      <c r="F531" s="61"/>
      <c r="G531" s="61"/>
      <c r="H531" s="61"/>
      <c r="I531" s="61"/>
    </row>
    <row r="532" spans="1:9" ht="15" customHeight="1" x14ac:dyDescent="0.25">
      <c r="A532" s="194"/>
      <c r="B532" s="195"/>
      <c r="C532" s="195"/>
      <c r="D532" s="195"/>
      <c r="E532" s="195"/>
      <c r="F532" s="195"/>
      <c r="G532" s="195"/>
      <c r="H532" s="195"/>
      <c r="I532" s="195"/>
    </row>
    <row r="533" spans="1:9" ht="15" customHeight="1" x14ac:dyDescent="0.25">
      <c r="A533" s="193"/>
      <c r="B533" s="61"/>
      <c r="C533" s="61"/>
      <c r="D533" s="61"/>
      <c r="E533" s="61"/>
      <c r="F533" s="61"/>
      <c r="G533" s="61"/>
      <c r="H533" s="61"/>
      <c r="I533" s="61"/>
    </row>
    <row r="534" spans="1:9" ht="15" customHeight="1" x14ac:dyDescent="0.25">
      <c r="A534" s="194"/>
      <c r="B534" s="195"/>
      <c r="C534" s="195"/>
      <c r="D534" s="195"/>
      <c r="E534" s="195"/>
      <c r="F534" s="195"/>
      <c r="G534" s="195"/>
      <c r="H534" s="195"/>
      <c r="I534" s="195"/>
    </row>
    <row r="535" spans="1:9" ht="15" customHeight="1" x14ac:dyDescent="0.25">
      <c r="A535" s="193"/>
      <c r="B535" s="61"/>
      <c r="C535" s="61"/>
      <c r="D535" s="61"/>
      <c r="E535" s="61"/>
      <c r="F535" s="61"/>
      <c r="G535" s="61"/>
      <c r="H535" s="61"/>
      <c r="I535" s="61"/>
    </row>
    <row r="536" spans="1:9" ht="15" customHeight="1" x14ac:dyDescent="0.25">
      <c r="A536" s="194"/>
      <c r="B536" s="195"/>
      <c r="C536" s="195"/>
      <c r="D536" s="195"/>
      <c r="E536" s="195"/>
      <c r="F536" s="195"/>
      <c r="G536" s="195"/>
      <c r="H536" s="195"/>
      <c r="I536" s="195"/>
    </row>
    <row r="537" spans="1:9" ht="15" customHeight="1" x14ac:dyDescent="0.25">
      <c r="A537" s="193"/>
      <c r="B537" s="61"/>
      <c r="C537" s="61"/>
      <c r="D537" s="61"/>
      <c r="E537" s="61"/>
      <c r="F537" s="61"/>
      <c r="G537" s="61"/>
      <c r="H537" s="61"/>
      <c r="I537" s="61"/>
    </row>
    <row r="538" spans="1:9" ht="15" customHeight="1" x14ac:dyDescent="0.25">
      <c r="A538" s="194"/>
      <c r="B538" s="195"/>
      <c r="C538" s="195"/>
      <c r="D538" s="195"/>
      <c r="E538" s="195"/>
      <c r="F538" s="195"/>
      <c r="G538" s="195"/>
      <c r="H538" s="195"/>
      <c r="I538" s="195"/>
    </row>
    <row r="539" spans="1:9" ht="15" customHeight="1" x14ac:dyDescent="0.25">
      <c r="A539" s="193"/>
      <c r="B539" s="61"/>
      <c r="C539" s="61"/>
      <c r="D539" s="61"/>
      <c r="E539" s="61"/>
      <c r="F539" s="61"/>
      <c r="G539" s="61"/>
      <c r="H539" s="61"/>
      <c r="I539" s="61"/>
    </row>
    <row r="540" spans="1:9" ht="15" customHeight="1" x14ac:dyDescent="0.25">
      <c r="A540" s="194"/>
      <c r="B540" s="195"/>
      <c r="C540" s="195"/>
      <c r="D540" s="195"/>
      <c r="E540" s="195"/>
      <c r="F540" s="195"/>
      <c r="G540" s="195"/>
      <c r="H540" s="195"/>
      <c r="I540" s="195"/>
    </row>
    <row r="541" spans="1:9" ht="15" customHeight="1" x14ac:dyDescent="0.25">
      <c r="A541" s="193"/>
      <c r="B541" s="61"/>
      <c r="C541" s="61"/>
      <c r="D541" s="61"/>
      <c r="E541" s="61"/>
      <c r="F541" s="61"/>
      <c r="G541" s="61"/>
      <c r="H541" s="61"/>
      <c r="I541" s="61"/>
    </row>
    <row r="542" spans="1:9" ht="15" customHeight="1" x14ac:dyDescent="0.25">
      <c r="A542" s="194"/>
      <c r="B542" s="195"/>
      <c r="C542" s="195"/>
      <c r="D542" s="195"/>
      <c r="E542" s="195"/>
      <c r="F542" s="195"/>
      <c r="G542" s="195"/>
      <c r="H542" s="195"/>
      <c r="I542" s="195"/>
    </row>
    <row r="543" spans="1:9" ht="15" customHeight="1" x14ac:dyDescent="0.25">
      <c r="A543" s="193"/>
      <c r="B543" s="61"/>
      <c r="C543" s="61"/>
      <c r="D543" s="61"/>
      <c r="E543" s="61"/>
      <c r="F543" s="61"/>
      <c r="G543" s="61"/>
      <c r="H543" s="61"/>
      <c r="I543" s="61"/>
    </row>
    <row r="544" spans="1:9" ht="15" customHeight="1" x14ac:dyDescent="0.25">
      <c r="A544" s="194"/>
      <c r="B544" s="195"/>
      <c r="C544" s="195"/>
      <c r="D544" s="195"/>
      <c r="E544" s="195"/>
      <c r="F544" s="195"/>
      <c r="G544" s="195"/>
      <c r="H544" s="195"/>
      <c r="I544" s="195"/>
    </row>
    <row r="545" spans="1:9" ht="15" customHeight="1" x14ac:dyDescent="0.25">
      <c r="A545" s="193"/>
      <c r="B545" s="61"/>
      <c r="C545" s="61"/>
      <c r="D545" s="61"/>
      <c r="E545" s="61"/>
      <c r="F545" s="61"/>
      <c r="G545" s="61"/>
      <c r="H545" s="61"/>
      <c r="I545" s="61"/>
    </row>
    <row r="546" spans="1:9" ht="15" customHeight="1" x14ac:dyDescent="0.25">
      <c r="A546" s="194"/>
      <c r="B546" s="195"/>
      <c r="C546" s="195"/>
      <c r="D546" s="195"/>
      <c r="E546" s="195"/>
      <c r="F546" s="195"/>
      <c r="G546" s="195"/>
      <c r="H546" s="195"/>
      <c r="I546" s="195"/>
    </row>
    <row r="547" spans="1:9" ht="15" customHeight="1" x14ac:dyDescent="0.25">
      <c r="A547" s="193"/>
      <c r="B547" s="61"/>
      <c r="C547" s="61"/>
      <c r="D547" s="61"/>
      <c r="E547" s="61"/>
      <c r="F547" s="61"/>
      <c r="G547" s="61"/>
      <c r="H547" s="61"/>
      <c r="I547" s="61"/>
    </row>
    <row r="548" spans="1:9" ht="15" customHeight="1" x14ac:dyDescent="0.25">
      <c r="A548" s="194"/>
      <c r="B548" s="195"/>
      <c r="C548" s="195"/>
      <c r="D548" s="195"/>
      <c r="E548" s="195"/>
      <c r="F548" s="195"/>
      <c r="G548" s="195"/>
      <c r="H548" s="195"/>
      <c r="I548" s="195"/>
    </row>
    <row r="549" spans="1:9" ht="15" customHeight="1" x14ac:dyDescent="0.25">
      <c r="A549" s="193"/>
      <c r="B549" s="61"/>
      <c r="C549" s="61"/>
      <c r="D549" s="61"/>
      <c r="E549" s="61"/>
      <c r="F549" s="61"/>
      <c r="G549" s="61"/>
      <c r="H549" s="61"/>
      <c r="I549" s="61"/>
    </row>
    <row r="550" spans="1:9" ht="15" customHeight="1" x14ac:dyDescent="0.25">
      <c r="A550" s="194"/>
      <c r="B550" s="195"/>
      <c r="C550" s="195"/>
      <c r="D550" s="195"/>
      <c r="E550" s="195"/>
      <c r="F550" s="195"/>
      <c r="G550" s="195"/>
      <c r="H550" s="195"/>
      <c r="I550" s="195"/>
    </row>
    <row r="551" spans="1:9" ht="15" customHeight="1" x14ac:dyDescent="0.25">
      <c r="A551" s="193"/>
      <c r="B551" s="61"/>
      <c r="C551" s="61"/>
      <c r="D551" s="61"/>
      <c r="E551" s="61"/>
      <c r="F551" s="61"/>
      <c r="G551" s="61"/>
      <c r="H551" s="61"/>
      <c r="I551" s="61"/>
    </row>
    <row r="552" spans="1:9" ht="15" customHeight="1" x14ac:dyDescent="0.25">
      <c r="A552" s="194"/>
      <c r="B552" s="195"/>
      <c r="C552" s="195"/>
      <c r="D552" s="195"/>
      <c r="E552" s="195"/>
      <c r="F552" s="195"/>
      <c r="G552" s="195"/>
      <c r="H552" s="195"/>
      <c r="I552" s="195"/>
    </row>
    <row r="553" spans="1:9" ht="15" customHeight="1" x14ac:dyDescent="0.25">
      <c r="A553" s="193"/>
      <c r="B553" s="61"/>
      <c r="C553" s="61"/>
      <c r="D553" s="61"/>
      <c r="E553" s="61"/>
      <c r="F553" s="61"/>
      <c r="G553" s="61"/>
      <c r="H553" s="61"/>
      <c r="I553" s="61"/>
    </row>
    <row r="554" spans="1:9" ht="15" customHeight="1" x14ac:dyDescent="0.25">
      <c r="A554" s="194"/>
      <c r="B554" s="195"/>
      <c r="C554" s="195"/>
      <c r="D554" s="195"/>
      <c r="E554" s="195"/>
      <c r="F554" s="195"/>
      <c r="G554" s="195"/>
      <c r="H554" s="195"/>
      <c r="I554" s="195"/>
    </row>
    <row r="555" spans="1:9" ht="15" customHeight="1" x14ac:dyDescent="0.25">
      <c r="A555" s="193"/>
      <c r="B555" s="61"/>
      <c r="C555" s="61"/>
      <c r="D555" s="61"/>
      <c r="E555" s="61"/>
      <c r="F555" s="61"/>
      <c r="G555" s="61"/>
      <c r="H555" s="61"/>
      <c r="I555" s="61"/>
    </row>
    <row r="556" spans="1:9" ht="15" customHeight="1" x14ac:dyDescent="0.25">
      <c r="A556" s="194"/>
      <c r="B556" s="195"/>
      <c r="C556" s="195"/>
      <c r="D556" s="195"/>
      <c r="E556" s="195"/>
      <c r="F556" s="195"/>
      <c r="G556" s="195"/>
      <c r="H556" s="195"/>
      <c r="I556" s="195"/>
    </row>
    <row r="557" spans="1:9" ht="15" customHeight="1" x14ac:dyDescent="0.25">
      <c r="A557" s="193"/>
      <c r="B557" s="61"/>
      <c r="C557" s="61"/>
      <c r="D557" s="61"/>
      <c r="E557" s="61"/>
      <c r="F557" s="61"/>
      <c r="G557" s="61"/>
      <c r="H557" s="61"/>
      <c r="I557" s="61"/>
    </row>
    <row r="558" spans="1:9" ht="15" customHeight="1" x14ac:dyDescent="0.25">
      <c r="A558" s="194"/>
      <c r="B558" s="195"/>
      <c r="C558" s="195"/>
      <c r="D558" s="195"/>
      <c r="E558" s="195"/>
      <c r="F558" s="195"/>
      <c r="G558" s="195"/>
      <c r="H558" s="195"/>
      <c r="I558" s="195"/>
    </row>
    <row r="559" spans="1:9" ht="15" customHeight="1" x14ac:dyDescent="0.25">
      <c r="A559" s="193"/>
      <c r="B559" s="61"/>
      <c r="C559" s="61"/>
      <c r="D559" s="61"/>
      <c r="E559" s="61"/>
      <c r="F559" s="61"/>
      <c r="G559" s="61"/>
      <c r="H559" s="61"/>
      <c r="I559" s="61"/>
    </row>
    <row r="560" spans="1:9" ht="15" customHeight="1" x14ac:dyDescent="0.25">
      <c r="A560" s="194"/>
      <c r="B560" s="195"/>
      <c r="C560" s="195"/>
      <c r="D560" s="195"/>
      <c r="E560" s="195"/>
      <c r="F560" s="195"/>
      <c r="G560" s="195"/>
      <c r="H560" s="195"/>
      <c r="I560" s="195"/>
    </row>
    <row r="561" spans="1:9" ht="15" customHeight="1" x14ac:dyDescent="0.25">
      <c r="A561" s="193"/>
      <c r="B561" s="61"/>
      <c r="C561" s="61"/>
      <c r="D561" s="61"/>
      <c r="E561" s="61"/>
      <c r="F561" s="61"/>
      <c r="G561" s="61"/>
      <c r="H561" s="61"/>
      <c r="I561" s="61"/>
    </row>
    <row r="562" spans="1:9" ht="15" customHeight="1" x14ac:dyDescent="0.25">
      <c r="A562" s="194"/>
      <c r="B562" s="195"/>
      <c r="C562" s="195"/>
      <c r="D562" s="195"/>
      <c r="E562" s="195"/>
      <c r="F562" s="195"/>
      <c r="G562" s="195"/>
      <c r="H562" s="195"/>
      <c r="I562" s="195"/>
    </row>
    <row r="563" spans="1:9" ht="15" customHeight="1" x14ac:dyDescent="0.25">
      <c r="A563" s="193"/>
      <c r="B563" s="61"/>
      <c r="C563" s="61"/>
      <c r="D563" s="61"/>
      <c r="E563" s="61"/>
      <c r="F563" s="61"/>
      <c r="G563" s="61"/>
      <c r="H563" s="61"/>
      <c r="I563" s="61"/>
    </row>
    <row r="564" spans="1:9" ht="15" customHeight="1" x14ac:dyDescent="0.25">
      <c r="A564" s="194"/>
      <c r="B564" s="195"/>
      <c r="C564" s="195"/>
      <c r="D564" s="195"/>
      <c r="E564" s="195"/>
      <c r="F564" s="195"/>
      <c r="G564" s="195"/>
      <c r="H564" s="195"/>
      <c r="I564" s="195"/>
    </row>
    <row r="565" spans="1:9" ht="15" customHeight="1" x14ac:dyDescent="0.25">
      <c r="A565" s="193"/>
      <c r="B565" s="61"/>
      <c r="C565" s="61"/>
      <c r="D565" s="61"/>
      <c r="E565" s="61"/>
      <c r="F565" s="61"/>
      <c r="G565" s="61"/>
      <c r="H565" s="61"/>
      <c r="I565" s="61"/>
    </row>
    <row r="566" spans="1:9" ht="15" customHeight="1" x14ac:dyDescent="0.25">
      <c r="A566" s="194"/>
      <c r="B566" s="195"/>
      <c r="C566" s="195"/>
      <c r="D566" s="195"/>
      <c r="E566" s="195"/>
      <c r="F566" s="195"/>
      <c r="G566" s="195"/>
      <c r="H566" s="195"/>
      <c r="I566" s="195"/>
    </row>
    <row r="567" spans="1:9" ht="15" customHeight="1" x14ac:dyDescent="0.25">
      <c r="A567" s="193"/>
      <c r="B567" s="61"/>
      <c r="C567" s="61"/>
      <c r="D567" s="61"/>
      <c r="E567" s="61"/>
      <c r="F567" s="61"/>
      <c r="G567" s="61"/>
      <c r="H567" s="61"/>
      <c r="I567" s="61"/>
    </row>
    <row r="568" spans="1:9" ht="15" customHeight="1" x14ac:dyDescent="0.25">
      <c r="A568" s="194"/>
      <c r="B568" s="195"/>
      <c r="C568" s="195"/>
      <c r="D568" s="195"/>
      <c r="E568" s="195"/>
      <c r="F568" s="195"/>
      <c r="G568" s="195"/>
      <c r="H568" s="195"/>
      <c r="I568" s="195"/>
    </row>
    <row r="569" spans="1:9" ht="15" customHeight="1" x14ac:dyDescent="0.25">
      <c r="A569" s="193"/>
      <c r="B569" s="61"/>
      <c r="C569" s="61"/>
      <c r="D569" s="61"/>
      <c r="E569" s="61"/>
      <c r="F569" s="61"/>
      <c r="G569" s="61"/>
      <c r="H569" s="61"/>
      <c r="I569" s="61"/>
    </row>
    <row r="570" spans="1:9" ht="15" customHeight="1" x14ac:dyDescent="0.25">
      <c r="A570" s="194"/>
      <c r="B570" s="195"/>
      <c r="C570" s="195"/>
      <c r="D570" s="195"/>
      <c r="E570" s="195"/>
      <c r="F570" s="195"/>
      <c r="G570" s="195"/>
      <c r="H570" s="195"/>
      <c r="I570" s="195"/>
    </row>
    <row r="571" spans="1:9" ht="15" customHeight="1" x14ac:dyDescent="0.25">
      <c r="A571" s="193"/>
      <c r="B571" s="61"/>
      <c r="C571" s="61"/>
      <c r="D571" s="61"/>
      <c r="E571" s="61"/>
      <c r="F571" s="61"/>
      <c r="G571" s="61"/>
      <c r="H571" s="61"/>
      <c r="I571" s="61"/>
    </row>
    <row r="572" spans="1:9" ht="15" customHeight="1" x14ac:dyDescent="0.25">
      <c r="A572" s="194"/>
      <c r="B572" s="195"/>
      <c r="C572" s="195"/>
      <c r="D572" s="195"/>
      <c r="E572" s="195"/>
      <c r="F572" s="195"/>
      <c r="G572" s="195"/>
      <c r="H572" s="195"/>
      <c r="I572" s="195"/>
    </row>
    <row r="573" spans="1:9" ht="15" customHeight="1" x14ac:dyDescent="0.25">
      <c r="A573" s="193"/>
      <c r="B573" s="61"/>
      <c r="C573" s="61"/>
      <c r="D573" s="61"/>
      <c r="E573" s="61"/>
      <c r="F573" s="61"/>
      <c r="G573" s="61"/>
      <c r="H573" s="61"/>
      <c r="I573" s="61"/>
    </row>
    <row r="574" spans="1:9" ht="15" customHeight="1" x14ac:dyDescent="0.25">
      <c r="A574" s="194"/>
      <c r="B574" s="195"/>
      <c r="C574" s="195"/>
      <c r="D574" s="195"/>
      <c r="E574" s="195"/>
      <c r="F574" s="195"/>
      <c r="G574" s="195"/>
      <c r="H574" s="195"/>
      <c r="I574" s="195"/>
    </row>
    <row r="575" spans="1:9" ht="15" customHeight="1" x14ac:dyDescent="0.25">
      <c r="A575" s="193"/>
      <c r="B575" s="61"/>
      <c r="C575" s="61"/>
      <c r="D575" s="61"/>
      <c r="E575" s="61"/>
      <c r="F575" s="61"/>
      <c r="G575" s="61"/>
      <c r="H575" s="61"/>
      <c r="I575" s="61"/>
    </row>
    <row r="576" spans="1:9" ht="15" customHeight="1" x14ac:dyDescent="0.25">
      <c r="A576" s="194"/>
      <c r="B576" s="195"/>
      <c r="C576" s="195"/>
      <c r="D576" s="195"/>
      <c r="E576" s="195"/>
      <c r="F576" s="195"/>
      <c r="G576" s="195"/>
      <c r="H576" s="195"/>
      <c r="I576" s="195"/>
    </row>
    <row r="577" spans="1:9" ht="15" customHeight="1" x14ac:dyDescent="0.25">
      <c r="A577" s="193"/>
      <c r="B577" s="61"/>
      <c r="C577" s="61"/>
      <c r="D577" s="61"/>
      <c r="E577" s="61"/>
      <c r="F577" s="61"/>
      <c r="G577" s="61"/>
      <c r="H577" s="61"/>
      <c r="I577" s="61"/>
    </row>
    <row r="578" spans="1:9" ht="15" customHeight="1" x14ac:dyDescent="0.25">
      <c r="A578" s="194"/>
      <c r="B578" s="195"/>
      <c r="C578" s="195"/>
      <c r="D578" s="195"/>
      <c r="E578" s="195"/>
      <c r="F578" s="195"/>
      <c r="G578" s="195"/>
      <c r="H578" s="195"/>
      <c r="I578" s="195"/>
    </row>
    <row r="579" spans="1:9" ht="15" customHeight="1" x14ac:dyDescent="0.25">
      <c r="A579" s="193"/>
      <c r="B579" s="61"/>
      <c r="C579" s="61"/>
      <c r="D579" s="61"/>
      <c r="E579" s="61"/>
      <c r="F579" s="61"/>
      <c r="G579" s="61"/>
      <c r="H579" s="61"/>
      <c r="I579" s="61"/>
    </row>
    <row r="580" spans="1:9" ht="15" customHeight="1" x14ac:dyDescent="0.25">
      <c r="A580" s="194"/>
      <c r="B580" s="195"/>
      <c r="C580" s="195"/>
      <c r="D580" s="195"/>
      <c r="E580" s="195"/>
      <c r="F580" s="195"/>
      <c r="G580" s="195"/>
      <c r="H580" s="195"/>
      <c r="I580" s="195"/>
    </row>
    <row r="581" spans="1:9" ht="15" customHeight="1" x14ac:dyDescent="0.25">
      <c r="A581" s="193"/>
      <c r="B581" s="61"/>
      <c r="C581" s="61"/>
      <c r="D581" s="61"/>
      <c r="E581" s="61"/>
      <c r="F581" s="61"/>
      <c r="G581" s="61"/>
      <c r="H581" s="61"/>
      <c r="I581" s="61"/>
    </row>
    <row r="582" spans="1:9" ht="15" customHeight="1" x14ac:dyDescent="0.25">
      <c r="A582" s="194"/>
      <c r="B582" s="195"/>
      <c r="C582" s="195"/>
      <c r="D582" s="195"/>
      <c r="E582" s="195"/>
      <c r="F582" s="195"/>
      <c r="G582" s="195"/>
      <c r="H582" s="195"/>
      <c r="I582" s="195"/>
    </row>
    <row r="583" spans="1:9" ht="15" customHeight="1" x14ac:dyDescent="0.25">
      <c r="A583" s="193"/>
      <c r="B583" s="61"/>
      <c r="C583" s="61"/>
      <c r="D583" s="61"/>
      <c r="E583" s="61"/>
      <c r="F583" s="61"/>
      <c r="G583" s="61"/>
      <c r="H583" s="61"/>
      <c r="I583" s="61"/>
    </row>
    <row r="584" spans="1:9" ht="15" customHeight="1" x14ac:dyDescent="0.25">
      <c r="A584" s="194"/>
      <c r="B584" s="195"/>
      <c r="C584" s="195"/>
      <c r="D584" s="195"/>
      <c r="E584" s="195"/>
      <c r="F584" s="195"/>
      <c r="G584" s="195"/>
      <c r="H584" s="195"/>
      <c r="I584" s="195"/>
    </row>
    <row r="585" spans="1:9" ht="15" customHeight="1" x14ac:dyDescent="0.25">
      <c r="A585" s="193"/>
      <c r="B585" s="61"/>
      <c r="C585" s="61"/>
      <c r="D585" s="61"/>
      <c r="E585" s="61"/>
      <c r="F585" s="61"/>
      <c r="G585" s="61"/>
      <c r="H585" s="61"/>
      <c r="I585" s="61"/>
    </row>
    <row r="586" spans="1:9" ht="15" customHeight="1" x14ac:dyDescent="0.25">
      <c r="A586" s="194"/>
      <c r="B586" s="195"/>
      <c r="C586" s="195"/>
      <c r="D586" s="195"/>
      <c r="E586" s="195"/>
      <c r="F586" s="195"/>
      <c r="G586" s="195"/>
      <c r="H586" s="195"/>
      <c r="I586" s="195"/>
    </row>
    <row r="587" spans="1:9" ht="15" customHeight="1" x14ac:dyDescent="0.25">
      <c r="A587" s="193"/>
      <c r="B587" s="61"/>
      <c r="C587" s="61"/>
      <c r="D587" s="61"/>
      <c r="E587" s="61"/>
      <c r="F587" s="61"/>
      <c r="G587" s="61"/>
      <c r="H587" s="61"/>
      <c r="I587" s="61"/>
    </row>
    <row r="588" spans="1:9" ht="15" customHeight="1" x14ac:dyDescent="0.25">
      <c r="A588" s="194"/>
      <c r="B588" s="195"/>
      <c r="C588" s="195"/>
      <c r="D588" s="195"/>
      <c r="E588" s="195"/>
      <c r="F588" s="195"/>
      <c r="G588" s="195"/>
      <c r="H588" s="195"/>
      <c r="I588" s="195"/>
    </row>
    <row r="589" spans="1:9" ht="15" customHeight="1" x14ac:dyDescent="0.25">
      <c r="A589" s="193"/>
      <c r="B589" s="61"/>
      <c r="C589" s="61"/>
      <c r="D589" s="61"/>
      <c r="E589" s="61"/>
      <c r="F589" s="61"/>
      <c r="G589" s="61"/>
      <c r="H589" s="61"/>
      <c r="I589" s="61"/>
    </row>
    <row r="590" spans="1:9" ht="15" customHeight="1" x14ac:dyDescent="0.25">
      <c r="A590" s="194"/>
      <c r="B590" s="195"/>
      <c r="C590" s="195"/>
      <c r="D590" s="195"/>
      <c r="E590" s="195"/>
      <c r="F590" s="195"/>
      <c r="G590" s="195"/>
      <c r="H590" s="195"/>
      <c r="I590" s="195"/>
    </row>
    <row r="591" spans="1:9" ht="15" customHeight="1" x14ac:dyDescent="0.25">
      <c r="A591" s="193"/>
      <c r="B591" s="61"/>
      <c r="C591" s="61"/>
      <c r="D591" s="61"/>
      <c r="E591" s="61"/>
      <c r="F591" s="61"/>
      <c r="G591" s="61"/>
      <c r="H591" s="61"/>
      <c r="I591" s="61"/>
    </row>
    <row r="592" spans="1:9" ht="15" customHeight="1" x14ac:dyDescent="0.25">
      <c r="A592" s="194"/>
      <c r="B592" s="195"/>
      <c r="C592" s="195"/>
      <c r="D592" s="195"/>
      <c r="E592" s="195"/>
      <c r="F592" s="195"/>
      <c r="G592" s="195"/>
      <c r="H592" s="195"/>
      <c r="I592" s="195"/>
    </row>
    <row r="593" spans="1:9" ht="15" customHeight="1" x14ac:dyDescent="0.25">
      <c r="A593" s="193"/>
      <c r="B593" s="61"/>
      <c r="C593" s="61"/>
      <c r="D593" s="61"/>
      <c r="E593" s="61"/>
      <c r="F593" s="61"/>
      <c r="G593" s="61"/>
      <c r="H593" s="61"/>
      <c r="I593" s="61"/>
    </row>
    <row r="594" spans="1:9" ht="15" customHeight="1" x14ac:dyDescent="0.25">
      <c r="A594" s="194"/>
      <c r="B594" s="195"/>
      <c r="C594" s="195"/>
      <c r="D594" s="195"/>
      <c r="E594" s="195"/>
      <c r="F594" s="195"/>
      <c r="G594" s="195"/>
      <c r="H594" s="195"/>
      <c r="I594" s="195"/>
    </row>
    <row r="595" spans="1:9" ht="15" customHeight="1" x14ac:dyDescent="0.25">
      <c r="A595" s="193"/>
      <c r="B595" s="61"/>
      <c r="C595" s="61"/>
      <c r="D595" s="61"/>
      <c r="E595" s="61"/>
      <c r="F595" s="61"/>
      <c r="G595" s="61"/>
      <c r="H595" s="61"/>
      <c r="I595" s="61"/>
    </row>
    <row r="596" spans="1:9" ht="15" customHeight="1" x14ac:dyDescent="0.25">
      <c r="A596" s="194"/>
      <c r="B596" s="195"/>
      <c r="C596" s="195"/>
      <c r="D596" s="195"/>
      <c r="E596" s="195"/>
      <c r="F596" s="195"/>
      <c r="G596" s="195"/>
      <c r="H596" s="195"/>
      <c r="I596" s="195"/>
    </row>
    <row r="597" spans="1:9" ht="15" customHeight="1" x14ac:dyDescent="0.25">
      <c r="A597" s="193"/>
      <c r="B597" s="61"/>
      <c r="C597" s="61"/>
      <c r="D597" s="61"/>
      <c r="E597" s="61"/>
      <c r="F597" s="61"/>
      <c r="G597" s="61"/>
      <c r="H597" s="61"/>
      <c r="I597" s="61"/>
    </row>
    <row r="598" spans="1:9" ht="15" customHeight="1" x14ac:dyDescent="0.25">
      <c r="A598" s="194"/>
      <c r="B598" s="195"/>
      <c r="C598" s="195"/>
      <c r="D598" s="195"/>
      <c r="E598" s="195"/>
      <c r="F598" s="195"/>
      <c r="G598" s="195"/>
      <c r="H598" s="195"/>
      <c r="I598" s="195"/>
    </row>
    <row r="599" spans="1:9" ht="15" customHeight="1" x14ac:dyDescent="0.25">
      <c r="A599" s="193"/>
      <c r="B599" s="61"/>
      <c r="C599" s="61"/>
      <c r="D599" s="61"/>
      <c r="E599" s="61"/>
      <c r="F599" s="61"/>
      <c r="G599" s="61"/>
      <c r="H599" s="61"/>
      <c r="I599" s="61"/>
    </row>
    <row r="600" spans="1:9" ht="15" customHeight="1" x14ac:dyDescent="0.25">
      <c r="A600" s="194"/>
      <c r="B600" s="195"/>
      <c r="C600" s="195"/>
      <c r="D600" s="195"/>
      <c r="E600" s="195"/>
      <c r="F600" s="195"/>
      <c r="G600" s="195"/>
      <c r="H600" s="195"/>
      <c r="I600" s="195"/>
    </row>
    <row r="601" spans="1:9" ht="15" customHeight="1" x14ac:dyDescent="0.25">
      <c r="A601" s="193"/>
      <c r="B601" s="61"/>
      <c r="C601" s="61"/>
      <c r="D601" s="61"/>
      <c r="E601" s="61"/>
      <c r="F601" s="61"/>
      <c r="G601" s="61"/>
      <c r="H601" s="61"/>
      <c r="I601" s="61"/>
    </row>
    <row r="602" spans="1:9" ht="15" customHeight="1" x14ac:dyDescent="0.25">
      <c r="A602" s="194"/>
      <c r="B602" s="195"/>
      <c r="C602" s="195"/>
      <c r="D602" s="195"/>
      <c r="E602" s="195"/>
      <c r="F602" s="195"/>
      <c r="G602" s="195"/>
      <c r="H602" s="195"/>
      <c r="I602" s="195"/>
    </row>
    <row r="603" spans="1:9" ht="15" customHeight="1" x14ac:dyDescent="0.25">
      <c r="A603" s="193"/>
      <c r="B603" s="61"/>
      <c r="C603" s="61"/>
      <c r="D603" s="61"/>
      <c r="E603" s="61"/>
      <c r="F603" s="61"/>
      <c r="G603" s="61"/>
      <c r="H603" s="61"/>
      <c r="I603" s="61"/>
    </row>
    <row r="604" spans="1:9" ht="15" customHeight="1" x14ac:dyDescent="0.25">
      <c r="A604" s="194"/>
      <c r="B604" s="195"/>
      <c r="C604" s="195"/>
      <c r="D604" s="195"/>
      <c r="E604" s="195"/>
      <c r="F604" s="195"/>
      <c r="G604" s="195"/>
      <c r="H604" s="195"/>
      <c r="I604" s="195"/>
    </row>
    <row r="605" spans="1:9" ht="15" customHeight="1" x14ac:dyDescent="0.25">
      <c r="A605" s="193"/>
      <c r="B605" s="61"/>
      <c r="C605" s="61"/>
      <c r="D605" s="61"/>
      <c r="E605" s="61"/>
      <c r="F605" s="61"/>
      <c r="G605" s="61"/>
      <c r="H605" s="61"/>
      <c r="I605" s="61"/>
    </row>
    <row r="606" spans="1:9" ht="15" customHeight="1" x14ac:dyDescent="0.25">
      <c r="A606" s="194"/>
      <c r="B606" s="195"/>
      <c r="C606" s="195"/>
      <c r="D606" s="195"/>
      <c r="E606" s="195"/>
      <c r="F606" s="195"/>
      <c r="G606" s="195"/>
      <c r="H606" s="195"/>
      <c r="I606" s="195"/>
    </row>
    <row r="607" spans="1:9" ht="15" customHeight="1" x14ac:dyDescent="0.25">
      <c r="A607" s="193"/>
      <c r="B607" s="61"/>
      <c r="C607" s="61"/>
      <c r="D607" s="61"/>
      <c r="E607" s="61"/>
      <c r="F607" s="61"/>
      <c r="G607" s="61"/>
      <c r="H607" s="61"/>
      <c r="I607" s="61"/>
    </row>
    <row r="608" spans="1:9" ht="15" customHeight="1" x14ac:dyDescent="0.25">
      <c r="A608" s="194"/>
      <c r="B608" s="195"/>
      <c r="C608" s="195"/>
      <c r="D608" s="195"/>
      <c r="E608" s="195"/>
      <c r="F608" s="195"/>
      <c r="G608" s="195"/>
      <c r="H608" s="195"/>
      <c r="I608" s="195"/>
    </row>
    <row r="609" spans="1:9" ht="15" customHeight="1" x14ac:dyDescent="0.25">
      <c r="A609" s="193"/>
      <c r="B609" s="61"/>
      <c r="C609" s="61"/>
      <c r="D609" s="61"/>
      <c r="E609" s="61"/>
      <c r="F609" s="61"/>
      <c r="G609" s="61"/>
      <c r="H609" s="61"/>
      <c r="I609" s="61"/>
    </row>
    <row r="610" spans="1:9" ht="15" customHeight="1" x14ac:dyDescent="0.25">
      <c r="A610" s="194"/>
      <c r="B610" s="195"/>
      <c r="C610" s="195"/>
      <c r="D610" s="195"/>
      <c r="E610" s="195"/>
      <c r="F610" s="195"/>
      <c r="G610" s="195"/>
      <c r="H610" s="195"/>
      <c r="I610" s="195"/>
    </row>
    <row r="611" spans="1:9" ht="15" customHeight="1" x14ac:dyDescent="0.25">
      <c r="A611" s="193"/>
      <c r="B611" s="61"/>
      <c r="C611" s="61"/>
      <c r="D611" s="61"/>
      <c r="E611" s="61"/>
      <c r="F611" s="61"/>
      <c r="G611" s="61"/>
      <c r="H611" s="61"/>
      <c r="I611" s="61"/>
    </row>
    <row r="612" spans="1:9" ht="15" customHeight="1" x14ac:dyDescent="0.25">
      <c r="A612" s="194"/>
      <c r="B612" s="195"/>
      <c r="C612" s="195"/>
      <c r="D612" s="195"/>
      <c r="E612" s="195"/>
      <c r="F612" s="195"/>
      <c r="G612" s="195"/>
      <c r="H612" s="195"/>
      <c r="I612" s="195"/>
    </row>
    <row r="613" spans="1:9" ht="15" customHeight="1" x14ac:dyDescent="0.25">
      <c r="A613" s="193"/>
      <c r="B613" s="61"/>
      <c r="C613" s="61"/>
      <c r="D613" s="61"/>
      <c r="E613" s="61"/>
      <c r="F613" s="61"/>
      <c r="G613" s="61"/>
      <c r="H613" s="61"/>
      <c r="I613" s="61"/>
    </row>
    <row r="614" spans="1:9" ht="15" customHeight="1" x14ac:dyDescent="0.25">
      <c r="A614" s="194"/>
      <c r="B614" s="195"/>
      <c r="C614" s="195"/>
      <c r="D614" s="195"/>
      <c r="E614" s="195"/>
      <c r="F614" s="195"/>
      <c r="G614" s="195"/>
      <c r="H614" s="195"/>
      <c r="I614" s="195"/>
    </row>
    <row r="615" spans="1:9" ht="15" customHeight="1" x14ac:dyDescent="0.25">
      <c r="A615" s="193"/>
      <c r="B615" s="61"/>
      <c r="C615" s="61"/>
      <c r="D615" s="61"/>
      <c r="E615" s="61"/>
      <c r="F615" s="61"/>
      <c r="G615" s="61"/>
      <c r="H615" s="61"/>
      <c r="I615" s="61"/>
    </row>
    <row r="616" spans="1:9" ht="15" customHeight="1" x14ac:dyDescent="0.25">
      <c r="A616" s="194"/>
      <c r="B616" s="195"/>
      <c r="C616" s="195"/>
      <c r="D616" s="195"/>
      <c r="E616" s="195"/>
      <c r="F616" s="195"/>
      <c r="G616" s="195"/>
      <c r="H616" s="195"/>
      <c r="I616" s="195"/>
    </row>
    <row r="617" spans="1:9" ht="15" customHeight="1" x14ac:dyDescent="0.25">
      <c r="A617" s="193"/>
      <c r="B617" s="61"/>
      <c r="C617" s="61"/>
      <c r="D617" s="61"/>
      <c r="E617" s="61"/>
      <c r="F617" s="61"/>
      <c r="G617" s="61"/>
      <c r="H617" s="61"/>
      <c r="I617" s="61"/>
    </row>
    <row r="618" spans="1:9" ht="15" customHeight="1" x14ac:dyDescent="0.25">
      <c r="A618" s="194"/>
      <c r="B618" s="195"/>
      <c r="C618" s="195"/>
      <c r="D618" s="195"/>
      <c r="E618" s="195"/>
      <c r="F618" s="195"/>
      <c r="G618" s="195"/>
      <c r="H618" s="195"/>
      <c r="I618" s="195"/>
    </row>
    <row r="619" spans="1:9" ht="15" customHeight="1" x14ac:dyDescent="0.25">
      <c r="A619" s="193"/>
      <c r="B619" s="61"/>
      <c r="C619" s="61"/>
      <c r="D619" s="61"/>
      <c r="E619" s="61"/>
      <c r="F619" s="61"/>
      <c r="G619" s="61"/>
      <c r="H619" s="61"/>
      <c r="I619" s="61"/>
    </row>
    <row r="620" spans="1:9" ht="15" customHeight="1" x14ac:dyDescent="0.25">
      <c r="A620" s="194"/>
      <c r="B620" s="195"/>
      <c r="C620" s="195"/>
      <c r="D620" s="195"/>
      <c r="E620" s="195"/>
      <c r="F620" s="195"/>
      <c r="G620" s="195"/>
      <c r="H620" s="195"/>
      <c r="I620" s="195"/>
    </row>
    <row r="621" spans="1:9" ht="15" customHeight="1" x14ac:dyDescent="0.25">
      <c r="A621" s="193"/>
      <c r="B621" s="61"/>
      <c r="C621" s="61"/>
      <c r="D621" s="61"/>
      <c r="E621" s="61"/>
      <c r="F621" s="61"/>
      <c r="G621" s="61"/>
      <c r="H621" s="61"/>
      <c r="I621" s="61"/>
    </row>
    <row r="622" spans="1:9" ht="15" customHeight="1" x14ac:dyDescent="0.25">
      <c r="A622" s="194"/>
      <c r="B622" s="195"/>
      <c r="C622" s="195"/>
      <c r="D622" s="195"/>
      <c r="E622" s="195"/>
      <c r="F622" s="195"/>
      <c r="G622" s="195"/>
      <c r="H622" s="195"/>
      <c r="I622" s="195"/>
    </row>
    <row r="623" spans="1:9" ht="15" customHeight="1" x14ac:dyDescent="0.25">
      <c r="A623" s="193"/>
      <c r="B623" s="61"/>
      <c r="C623" s="61"/>
      <c r="D623" s="61"/>
      <c r="E623" s="61"/>
      <c r="F623" s="61"/>
      <c r="G623" s="61"/>
      <c r="H623" s="61"/>
      <c r="I623" s="61"/>
    </row>
    <row r="624" spans="1:9" ht="15" customHeight="1" x14ac:dyDescent="0.25">
      <c r="A624" s="194"/>
      <c r="B624" s="195"/>
      <c r="C624" s="195"/>
      <c r="D624" s="195"/>
      <c r="E624" s="195"/>
      <c r="F624" s="195"/>
      <c r="G624" s="195"/>
      <c r="H624" s="195"/>
      <c r="I624" s="195"/>
    </row>
    <row r="625" spans="1:9" ht="15" customHeight="1" x14ac:dyDescent="0.25">
      <c r="A625" s="193"/>
      <c r="B625" s="61"/>
      <c r="C625" s="61"/>
      <c r="D625" s="61"/>
      <c r="E625" s="61"/>
      <c r="F625" s="61"/>
      <c r="G625" s="61"/>
      <c r="H625" s="61"/>
      <c r="I625" s="61"/>
    </row>
    <row r="626" spans="1:9" ht="15" customHeight="1" x14ac:dyDescent="0.25">
      <c r="A626" s="194"/>
      <c r="B626" s="195"/>
      <c r="C626" s="195"/>
      <c r="D626" s="195"/>
      <c r="E626" s="195"/>
      <c r="F626" s="195"/>
      <c r="G626" s="195"/>
      <c r="H626" s="195"/>
      <c r="I626" s="195"/>
    </row>
    <row r="627" spans="1:9" ht="15" customHeight="1" x14ac:dyDescent="0.25">
      <c r="A627" s="193"/>
      <c r="B627" s="61"/>
      <c r="C627" s="61"/>
      <c r="D627" s="61"/>
      <c r="E627" s="61"/>
      <c r="F627" s="61"/>
      <c r="G627" s="61"/>
      <c r="H627" s="61"/>
      <c r="I627" s="61"/>
    </row>
    <row r="628" spans="1:9" ht="15" customHeight="1" x14ac:dyDescent="0.25">
      <c r="A628" s="194"/>
      <c r="B628" s="195"/>
      <c r="C628" s="195"/>
      <c r="D628" s="195"/>
      <c r="E628" s="195"/>
      <c r="F628" s="195"/>
      <c r="G628" s="195"/>
      <c r="H628" s="195"/>
      <c r="I628" s="195"/>
    </row>
    <row r="629" spans="1:9" ht="15" customHeight="1" x14ac:dyDescent="0.25">
      <c r="A629" s="193"/>
      <c r="B629" s="61"/>
      <c r="C629" s="61"/>
      <c r="D629" s="61"/>
      <c r="E629" s="61"/>
      <c r="F629" s="61"/>
      <c r="G629" s="61"/>
      <c r="H629" s="61"/>
      <c r="I629" s="61"/>
    </row>
    <row r="630" spans="1:9" ht="15" customHeight="1" x14ac:dyDescent="0.25">
      <c r="A630" s="194"/>
      <c r="B630" s="195"/>
      <c r="C630" s="195"/>
      <c r="D630" s="195"/>
      <c r="E630" s="195"/>
      <c r="F630" s="195"/>
      <c r="G630" s="195"/>
      <c r="H630" s="195"/>
      <c r="I630" s="195"/>
    </row>
    <row r="631" spans="1:9" ht="15" customHeight="1" x14ac:dyDescent="0.25">
      <c r="A631" s="193"/>
      <c r="B631" s="61"/>
      <c r="C631" s="61"/>
      <c r="D631" s="61"/>
      <c r="E631" s="61"/>
      <c r="F631" s="61"/>
      <c r="G631" s="61"/>
      <c r="H631" s="61"/>
      <c r="I631" s="61"/>
    </row>
    <row r="632" spans="1:9" ht="15" customHeight="1" x14ac:dyDescent="0.25">
      <c r="A632" s="194"/>
      <c r="B632" s="195"/>
      <c r="C632" s="195"/>
      <c r="D632" s="195"/>
      <c r="E632" s="195"/>
      <c r="F632" s="195"/>
      <c r="G632" s="195"/>
      <c r="H632" s="195"/>
      <c r="I632" s="195"/>
    </row>
    <row r="633" spans="1:9" ht="15" customHeight="1" x14ac:dyDescent="0.25">
      <c r="A633" s="193"/>
      <c r="B633" s="61"/>
      <c r="C633" s="61"/>
      <c r="D633" s="61"/>
      <c r="E633" s="61"/>
      <c r="F633" s="61"/>
      <c r="G633" s="61"/>
      <c r="H633" s="61"/>
      <c r="I633" s="61"/>
    </row>
    <row r="634" spans="1:9" ht="15" customHeight="1" x14ac:dyDescent="0.25">
      <c r="A634" s="194"/>
      <c r="B634" s="195"/>
      <c r="C634" s="195"/>
      <c r="D634" s="195"/>
      <c r="E634" s="195"/>
      <c r="F634" s="195"/>
      <c r="G634" s="195"/>
      <c r="H634" s="195"/>
      <c r="I634" s="195"/>
    </row>
    <row r="635" spans="1:9" ht="15" customHeight="1" x14ac:dyDescent="0.25">
      <c r="A635" s="193"/>
      <c r="B635" s="61"/>
      <c r="C635" s="61"/>
      <c r="D635" s="61"/>
      <c r="E635" s="61"/>
      <c r="F635" s="61"/>
      <c r="G635" s="61"/>
      <c r="H635" s="61"/>
      <c r="I635" s="61"/>
    </row>
    <row r="636" spans="1:9" ht="15" customHeight="1" x14ac:dyDescent="0.25">
      <c r="A636" s="194"/>
      <c r="B636" s="195"/>
      <c r="C636" s="195"/>
      <c r="D636" s="195"/>
      <c r="E636" s="195"/>
      <c r="F636" s="195"/>
      <c r="G636" s="195"/>
      <c r="H636" s="195"/>
      <c r="I636" s="195"/>
    </row>
    <row r="637" spans="1:9" ht="15" customHeight="1" x14ac:dyDescent="0.25">
      <c r="A637" s="193"/>
      <c r="B637" s="61"/>
      <c r="C637" s="61"/>
      <c r="D637" s="61"/>
      <c r="E637" s="61"/>
      <c r="F637" s="61"/>
      <c r="G637" s="61"/>
      <c r="H637" s="61"/>
      <c r="I637" s="61"/>
    </row>
    <row r="638" spans="1:9" ht="15" customHeight="1" x14ac:dyDescent="0.25">
      <c r="A638" s="194"/>
      <c r="B638" s="195"/>
      <c r="C638" s="195"/>
      <c r="D638" s="195"/>
      <c r="E638" s="195"/>
      <c r="F638" s="195"/>
      <c r="G638" s="195"/>
      <c r="H638" s="195"/>
      <c r="I638" s="195"/>
    </row>
    <row r="639" spans="1:9" ht="15" customHeight="1" x14ac:dyDescent="0.25">
      <c r="A639" s="193"/>
      <c r="B639" s="61"/>
      <c r="C639" s="61"/>
      <c r="D639" s="61"/>
      <c r="E639" s="61"/>
      <c r="F639" s="61"/>
      <c r="G639" s="61"/>
      <c r="H639" s="61"/>
      <c r="I639" s="61"/>
    </row>
    <row r="640" spans="1:9" ht="15" customHeight="1" x14ac:dyDescent="0.25">
      <c r="A640" s="194"/>
      <c r="B640" s="195"/>
      <c r="C640" s="195"/>
      <c r="D640" s="195"/>
      <c r="E640" s="195"/>
      <c r="F640" s="195"/>
      <c r="G640" s="195"/>
      <c r="H640" s="195"/>
      <c r="I640" s="195"/>
    </row>
    <row r="641" spans="1:9" ht="15" customHeight="1" x14ac:dyDescent="0.25">
      <c r="A641" s="193"/>
      <c r="B641" s="61"/>
      <c r="C641" s="61"/>
      <c r="D641" s="61"/>
      <c r="E641" s="61"/>
      <c r="F641" s="61"/>
      <c r="G641" s="61"/>
      <c r="H641" s="61"/>
      <c r="I641" s="61"/>
    </row>
    <row r="642" spans="1:9" ht="15" customHeight="1" x14ac:dyDescent="0.25">
      <c r="A642" s="194"/>
      <c r="B642" s="195"/>
      <c r="C642" s="195"/>
      <c r="D642" s="195"/>
      <c r="E642" s="195"/>
      <c r="F642" s="195"/>
      <c r="G642" s="195"/>
      <c r="H642" s="195"/>
      <c r="I642" s="195"/>
    </row>
    <row r="643" spans="1:9" ht="15" customHeight="1" x14ac:dyDescent="0.25">
      <c r="A643" s="193"/>
      <c r="B643" s="61"/>
      <c r="C643" s="61"/>
      <c r="D643" s="61"/>
      <c r="E643" s="61"/>
      <c r="F643" s="61"/>
      <c r="G643" s="61"/>
      <c r="H643" s="61"/>
      <c r="I643" s="61"/>
    </row>
    <row r="644" spans="1:9" ht="15" customHeight="1" x14ac:dyDescent="0.25">
      <c r="A644" s="194"/>
      <c r="B644" s="195"/>
      <c r="C644" s="195"/>
      <c r="D644" s="195"/>
      <c r="E644" s="195"/>
      <c r="F644" s="195"/>
      <c r="G644" s="195"/>
      <c r="H644" s="195"/>
      <c r="I644" s="195"/>
    </row>
    <row r="645" spans="1:9" ht="15" customHeight="1" x14ac:dyDescent="0.25">
      <c r="A645" s="193"/>
      <c r="B645" s="61"/>
      <c r="C645" s="61"/>
      <c r="D645" s="61"/>
      <c r="E645" s="61"/>
      <c r="F645" s="61"/>
      <c r="G645" s="61"/>
      <c r="H645" s="61"/>
      <c r="I645" s="61"/>
    </row>
    <row r="646" spans="1:9" ht="15" customHeight="1" x14ac:dyDescent="0.25">
      <c r="A646" s="194"/>
      <c r="B646" s="195"/>
      <c r="C646" s="195"/>
      <c r="D646" s="195"/>
      <c r="E646" s="195"/>
      <c r="F646" s="195"/>
      <c r="G646" s="195"/>
      <c r="H646" s="195"/>
      <c r="I646" s="195"/>
    </row>
    <row r="647" spans="1:9" ht="15" customHeight="1" x14ac:dyDescent="0.25">
      <c r="A647" s="193"/>
      <c r="B647" s="61"/>
      <c r="C647" s="61"/>
      <c r="D647" s="61"/>
      <c r="E647" s="61"/>
      <c r="F647" s="61"/>
      <c r="G647" s="61"/>
      <c r="H647" s="61"/>
      <c r="I647" s="61"/>
    </row>
    <row r="648" spans="1:9" ht="15" customHeight="1" x14ac:dyDescent="0.25">
      <c r="A648" s="194"/>
      <c r="B648" s="195"/>
      <c r="C648" s="195"/>
      <c r="D648" s="195"/>
      <c r="E648" s="195"/>
      <c r="F648" s="195"/>
      <c r="G648" s="195"/>
      <c r="H648" s="195"/>
      <c r="I648" s="195"/>
    </row>
    <row r="649" spans="1:9" ht="15" customHeight="1" x14ac:dyDescent="0.25">
      <c r="A649" s="193"/>
      <c r="B649" s="61"/>
      <c r="C649" s="61"/>
      <c r="D649" s="61"/>
      <c r="E649" s="61"/>
      <c r="F649" s="61"/>
      <c r="G649" s="61"/>
      <c r="H649" s="61"/>
      <c r="I649" s="61"/>
    </row>
    <row r="650" spans="1:9" ht="15" customHeight="1" x14ac:dyDescent="0.25">
      <c r="A650" s="194"/>
      <c r="B650" s="195"/>
      <c r="C650" s="195"/>
      <c r="D650" s="195"/>
      <c r="E650" s="195"/>
      <c r="F650" s="195"/>
      <c r="G650" s="195"/>
      <c r="H650" s="195"/>
      <c r="I650" s="195"/>
    </row>
    <row r="651" spans="1:9" ht="15" customHeight="1" x14ac:dyDescent="0.25">
      <c r="A651" s="193"/>
      <c r="B651" s="61"/>
      <c r="C651" s="61"/>
      <c r="D651" s="61"/>
      <c r="E651" s="61"/>
      <c r="F651" s="61"/>
      <c r="G651" s="61"/>
      <c r="H651" s="61"/>
      <c r="I651" s="61"/>
    </row>
    <row r="652" spans="1:9" ht="15" customHeight="1" x14ac:dyDescent="0.25">
      <c r="A652" s="194"/>
      <c r="B652" s="195"/>
      <c r="C652" s="195"/>
      <c r="D652" s="195"/>
      <c r="E652" s="195"/>
      <c r="F652" s="195"/>
      <c r="G652" s="195"/>
      <c r="H652" s="195"/>
      <c r="I652" s="195"/>
    </row>
    <row r="653" spans="1:9" ht="15" customHeight="1" x14ac:dyDescent="0.25">
      <c r="A653" s="193"/>
      <c r="B653" s="61"/>
      <c r="C653" s="61"/>
      <c r="D653" s="61"/>
      <c r="E653" s="61"/>
      <c r="F653" s="61"/>
      <c r="G653" s="61"/>
      <c r="H653" s="61"/>
      <c r="I653" s="61"/>
    </row>
    <row r="654" spans="1:9" ht="15" customHeight="1" x14ac:dyDescent="0.25">
      <c r="A654" s="194"/>
      <c r="B654" s="195"/>
      <c r="C654" s="195"/>
      <c r="D654" s="195"/>
      <c r="E654" s="195"/>
      <c r="F654" s="195"/>
      <c r="G654" s="195"/>
      <c r="H654" s="195"/>
      <c r="I654" s="195"/>
    </row>
    <row r="655" spans="1:9" ht="15" customHeight="1" x14ac:dyDescent="0.25">
      <c r="A655" s="193"/>
      <c r="B655" s="61"/>
      <c r="C655" s="61"/>
      <c r="D655" s="61"/>
      <c r="E655" s="61"/>
      <c r="F655" s="61"/>
      <c r="G655" s="61"/>
      <c r="H655" s="61"/>
      <c r="I655" s="61"/>
    </row>
    <row r="656" spans="1:9" ht="15" customHeight="1" x14ac:dyDescent="0.25">
      <c r="A656" s="194"/>
      <c r="B656" s="195"/>
      <c r="C656" s="195"/>
      <c r="D656" s="195"/>
      <c r="E656" s="195"/>
      <c r="F656" s="195"/>
      <c r="G656" s="195"/>
      <c r="H656" s="195"/>
      <c r="I656" s="195"/>
    </row>
    <row r="657" spans="1:9" ht="15" customHeight="1" x14ac:dyDescent="0.25">
      <c r="A657" s="193"/>
      <c r="B657" s="61"/>
      <c r="C657" s="61"/>
      <c r="D657" s="61"/>
      <c r="E657" s="61"/>
      <c r="F657" s="61"/>
      <c r="G657" s="61"/>
      <c r="H657" s="61"/>
      <c r="I657" s="61"/>
    </row>
    <row r="658" spans="1:9" ht="15" customHeight="1" x14ac:dyDescent="0.25">
      <c r="A658" s="194"/>
      <c r="B658" s="195"/>
      <c r="C658" s="195"/>
      <c r="D658" s="195"/>
      <c r="E658" s="195"/>
      <c r="F658" s="195"/>
      <c r="G658" s="195"/>
      <c r="H658" s="195"/>
      <c r="I658" s="195"/>
    </row>
    <row r="659" spans="1:9" ht="15" customHeight="1" x14ac:dyDescent="0.25">
      <c r="A659" s="193"/>
      <c r="B659" s="61"/>
      <c r="C659" s="61"/>
      <c r="D659" s="61"/>
      <c r="E659" s="61"/>
      <c r="F659" s="61"/>
      <c r="G659" s="61"/>
      <c r="H659" s="61"/>
      <c r="I659" s="61"/>
    </row>
    <row r="660" spans="1:9" ht="15" customHeight="1" x14ac:dyDescent="0.25">
      <c r="A660" s="194"/>
      <c r="B660" s="195"/>
      <c r="C660" s="195"/>
      <c r="D660" s="195"/>
      <c r="E660" s="195"/>
      <c r="F660" s="195"/>
      <c r="G660" s="195"/>
      <c r="H660" s="195"/>
      <c r="I660" s="195"/>
    </row>
    <row r="661" spans="1:9" ht="15" customHeight="1" x14ac:dyDescent="0.25">
      <c r="A661" s="193"/>
      <c r="B661" s="61"/>
      <c r="C661" s="61"/>
      <c r="D661" s="61"/>
      <c r="E661" s="61"/>
      <c r="F661" s="61"/>
      <c r="G661" s="61"/>
      <c r="H661" s="61"/>
      <c r="I661" s="61"/>
    </row>
    <row r="662" spans="1:9" ht="15" customHeight="1" x14ac:dyDescent="0.25">
      <c r="A662" s="194"/>
      <c r="B662" s="195"/>
      <c r="C662" s="195"/>
      <c r="D662" s="195"/>
      <c r="E662" s="195"/>
      <c r="F662" s="195"/>
      <c r="G662" s="195"/>
      <c r="H662" s="195"/>
      <c r="I662" s="195"/>
    </row>
    <row r="663" spans="1:9" ht="15" customHeight="1" x14ac:dyDescent="0.25">
      <c r="A663" s="193"/>
      <c r="B663" s="61"/>
      <c r="C663" s="61"/>
      <c r="D663" s="61"/>
      <c r="E663" s="61"/>
      <c r="F663" s="61"/>
      <c r="G663" s="61"/>
      <c r="H663" s="61"/>
      <c r="I663" s="61"/>
    </row>
    <row r="664" spans="1:9" ht="15" customHeight="1" x14ac:dyDescent="0.25">
      <c r="A664" s="194"/>
      <c r="B664" s="195"/>
      <c r="C664" s="195"/>
      <c r="D664" s="195"/>
      <c r="E664" s="195"/>
      <c r="F664" s="195"/>
      <c r="G664" s="195"/>
      <c r="H664" s="195"/>
      <c r="I664" s="195"/>
    </row>
    <row r="665" spans="1:9" ht="15" customHeight="1" x14ac:dyDescent="0.25">
      <c r="A665" s="193"/>
      <c r="B665" s="61"/>
      <c r="C665" s="61"/>
      <c r="D665" s="61"/>
      <c r="E665" s="61"/>
      <c r="F665" s="61"/>
      <c r="G665" s="61"/>
      <c r="H665" s="61"/>
      <c r="I665" s="61"/>
    </row>
    <row r="666" spans="1:9" ht="15" customHeight="1" x14ac:dyDescent="0.25">
      <c r="A666" s="194"/>
      <c r="B666" s="195"/>
      <c r="C666" s="195"/>
      <c r="D666" s="195"/>
      <c r="E666" s="195"/>
      <c r="F666" s="195"/>
      <c r="G666" s="195"/>
      <c r="H666" s="195"/>
      <c r="I666" s="195"/>
    </row>
    <row r="667" spans="1:9" ht="15" customHeight="1" x14ac:dyDescent="0.25">
      <c r="A667" s="193"/>
      <c r="B667" s="61"/>
      <c r="C667" s="61"/>
      <c r="D667" s="61"/>
      <c r="E667" s="61"/>
      <c r="F667" s="61"/>
      <c r="G667" s="61"/>
      <c r="H667" s="61"/>
      <c r="I667" s="61"/>
    </row>
    <row r="668" spans="1:9" ht="15" customHeight="1" x14ac:dyDescent="0.25">
      <c r="A668" s="194"/>
      <c r="B668" s="195"/>
      <c r="C668" s="195"/>
      <c r="D668" s="195"/>
      <c r="E668" s="195"/>
      <c r="F668" s="195"/>
      <c r="G668" s="195"/>
      <c r="H668" s="195"/>
      <c r="I668" s="195"/>
    </row>
    <row r="669" spans="1:9" ht="15" customHeight="1" x14ac:dyDescent="0.25">
      <c r="A669" s="193"/>
      <c r="B669" s="61"/>
      <c r="C669" s="61"/>
      <c r="D669" s="61"/>
      <c r="E669" s="61"/>
      <c r="F669" s="61"/>
      <c r="G669" s="61"/>
      <c r="H669" s="61"/>
      <c r="I669" s="61"/>
    </row>
    <row r="670" spans="1:9" ht="15" customHeight="1" x14ac:dyDescent="0.25">
      <c r="A670" s="194"/>
      <c r="B670" s="195"/>
      <c r="C670" s="195"/>
      <c r="D670" s="195"/>
      <c r="E670" s="195"/>
      <c r="F670" s="195"/>
      <c r="G670" s="195"/>
      <c r="H670" s="195"/>
      <c r="I670" s="195"/>
    </row>
    <row r="671" spans="1:9" ht="15" customHeight="1" x14ac:dyDescent="0.25">
      <c r="A671" s="193"/>
      <c r="B671" s="61"/>
      <c r="C671" s="61"/>
      <c r="D671" s="61"/>
      <c r="E671" s="61"/>
      <c r="F671" s="61"/>
      <c r="G671" s="61"/>
      <c r="H671" s="61"/>
      <c r="I671" s="61"/>
    </row>
    <row r="672" spans="1:9" ht="15" customHeight="1" x14ac:dyDescent="0.25">
      <c r="A672" s="194"/>
      <c r="B672" s="195"/>
      <c r="C672" s="195"/>
      <c r="D672" s="195"/>
      <c r="E672" s="195"/>
      <c r="F672" s="195"/>
      <c r="G672" s="195"/>
      <c r="H672" s="195"/>
      <c r="I672" s="195"/>
    </row>
    <row r="673" spans="1:9" ht="15" customHeight="1" x14ac:dyDescent="0.25">
      <c r="A673" s="193"/>
      <c r="B673" s="61"/>
      <c r="C673" s="61"/>
      <c r="D673" s="61"/>
      <c r="E673" s="61"/>
      <c r="F673" s="61"/>
      <c r="G673" s="61"/>
      <c r="H673" s="61"/>
      <c r="I673" s="61"/>
    </row>
    <row r="674" spans="1:9" ht="15" customHeight="1" x14ac:dyDescent="0.25">
      <c r="A674" s="194"/>
      <c r="B674" s="195"/>
      <c r="C674" s="195"/>
      <c r="D674" s="195"/>
      <c r="E674" s="195"/>
      <c r="F674" s="195"/>
      <c r="G674" s="195"/>
      <c r="H674" s="195"/>
      <c r="I674" s="195"/>
    </row>
    <row r="675" spans="1:9" ht="15" customHeight="1" x14ac:dyDescent="0.25">
      <c r="A675" s="193"/>
      <c r="B675" s="61"/>
      <c r="C675" s="61"/>
      <c r="D675" s="61"/>
      <c r="E675" s="61"/>
      <c r="F675" s="61"/>
      <c r="G675" s="61"/>
      <c r="H675" s="61"/>
      <c r="I675" s="61"/>
    </row>
    <row r="676" spans="1:9" ht="15" customHeight="1" x14ac:dyDescent="0.25">
      <c r="A676" s="194"/>
      <c r="B676" s="195"/>
      <c r="C676" s="195"/>
      <c r="D676" s="195"/>
      <c r="E676" s="195"/>
      <c r="F676" s="195"/>
      <c r="G676" s="195"/>
      <c r="H676" s="195"/>
      <c r="I676" s="195"/>
    </row>
    <row r="677" spans="1:9" ht="15" customHeight="1" x14ac:dyDescent="0.25">
      <c r="A677" s="193"/>
      <c r="B677" s="61"/>
      <c r="C677" s="61"/>
      <c r="D677" s="61"/>
      <c r="E677" s="61"/>
      <c r="F677" s="61"/>
      <c r="G677" s="61"/>
      <c r="H677" s="61"/>
      <c r="I677" s="61"/>
    </row>
    <row r="678" spans="1:9" ht="15" customHeight="1" x14ac:dyDescent="0.25">
      <c r="A678" s="194"/>
      <c r="B678" s="195"/>
      <c r="C678" s="195"/>
      <c r="D678" s="195"/>
      <c r="E678" s="195"/>
      <c r="F678" s="195"/>
      <c r="G678" s="195"/>
      <c r="H678" s="195"/>
      <c r="I678" s="195"/>
    </row>
    <row r="679" spans="1:9" ht="15" customHeight="1" x14ac:dyDescent="0.25">
      <c r="A679" s="193"/>
      <c r="B679" s="61"/>
      <c r="C679" s="61"/>
      <c r="D679" s="61"/>
      <c r="E679" s="61"/>
      <c r="F679" s="61"/>
      <c r="G679" s="61"/>
      <c r="H679" s="61"/>
      <c r="I679" s="61"/>
    </row>
    <row r="680" spans="1:9" ht="15" customHeight="1" x14ac:dyDescent="0.25">
      <c r="A680" s="194"/>
      <c r="B680" s="195"/>
      <c r="C680" s="195"/>
      <c r="D680" s="195"/>
      <c r="E680" s="195"/>
      <c r="F680" s="195"/>
      <c r="G680" s="195"/>
      <c r="H680" s="195"/>
      <c r="I680" s="195"/>
    </row>
    <row r="681" spans="1:9" ht="15" customHeight="1" x14ac:dyDescent="0.25">
      <c r="A681" s="193"/>
      <c r="B681" s="61"/>
      <c r="C681" s="61"/>
      <c r="D681" s="61"/>
      <c r="E681" s="61"/>
      <c r="F681" s="61"/>
      <c r="G681" s="61"/>
      <c r="H681" s="61"/>
      <c r="I681" s="61"/>
    </row>
    <row r="682" spans="1:9" ht="15" customHeight="1" x14ac:dyDescent="0.25">
      <c r="A682" s="194"/>
      <c r="B682" s="195"/>
      <c r="C682" s="195"/>
      <c r="D682" s="195"/>
      <c r="E682" s="195"/>
      <c r="F682" s="195"/>
      <c r="G682" s="195"/>
      <c r="H682" s="195"/>
      <c r="I682" s="195"/>
    </row>
    <row r="683" spans="1:9" ht="15" customHeight="1" x14ac:dyDescent="0.25">
      <c r="A683" s="193"/>
      <c r="B683" s="61"/>
      <c r="C683" s="61"/>
      <c r="D683" s="61"/>
      <c r="E683" s="61"/>
      <c r="F683" s="61"/>
      <c r="G683" s="61"/>
      <c r="H683" s="61"/>
      <c r="I683" s="61"/>
    </row>
    <row r="684" spans="1:9" ht="15" customHeight="1" x14ac:dyDescent="0.25">
      <c r="A684" s="194"/>
      <c r="B684" s="195"/>
      <c r="C684" s="195"/>
      <c r="D684" s="195"/>
      <c r="E684" s="195"/>
      <c r="F684" s="195"/>
      <c r="G684" s="195"/>
      <c r="H684" s="195"/>
      <c r="I684" s="195"/>
    </row>
    <row r="685" spans="1:9" ht="15" customHeight="1" x14ac:dyDescent="0.25">
      <c r="A685" s="193"/>
      <c r="B685" s="61"/>
      <c r="C685" s="61"/>
      <c r="D685" s="61"/>
      <c r="E685" s="61"/>
      <c r="F685" s="61"/>
      <c r="G685" s="61"/>
      <c r="H685" s="61"/>
      <c r="I685" s="61"/>
    </row>
    <row r="686" spans="1:9" ht="15" customHeight="1" x14ac:dyDescent="0.25">
      <c r="A686" s="194"/>
      <c r="B686" s="195"/>
      <c r="C686" s="195"/>
      <c r="D686" s="195"/>
      <c r="E686" s="195"/>
      <c r="F686" s="195"/>
      <c r="G686" s="195"/>
      <c r="H686" s="195"/>
      <c r="I686" s="195"/>
    </row>
    <row r="687" spans="1:9" ht="15" customHeight="1" x14ac:dyDescent="0.25">
      <c r="A687" s="193"/>
      <c r="B687" s="61"/>
      <c r="C687" s="61"/>
      <c r="D687" s="61"/>
      <c r="E687" s="61"/>
      <c r="F687" s="61"/>
      <c r="G687" s="61"/>
      <c r="H687" s="61"/>
      <c r="I687" s="61"/>
    </row>
    <row r="688" spans="1:9" ht="15" customHeight="1" x14ac:dyDescent="0.25">
      <c r="A688" s="194"/>
      <c r="B688" s="195"/>
      <c r="C688" s="195"/>
      <c r="D688" s="195"/>
      <c r="E688" s="195"/>
      <c r="F688" s="195"/>
      <c r="G688" s="195"/>
      <c r="H688" s="195"/>
      <c r="I688" s="195"/>
    </row>
    <row r="689" spans="1:9" ht="15" customHeight="1" x14ac:dyDescent="0.25">
      <c r="A689" s="193"/>
      <c r="B689" s="61"/>
      <c r="C689" s="61"/>
      <c r="D689" s="61"/>
      <c r="E689" s="61"/>
      <c r="F689" s="61"/>
      <c r="G689" s="61"/>
      <c r="H689" s="61"/>
      <c r="I689" s="61"/>
    </row>
    <row r="690" spans="1:9" ht="15" customHeight="1" x14ac:dyDescent="0.25">
      <c r="A690" s="194"/>
      <c r="B690" s="195"/>
      <c r="C690" s="195"/>
      <c r="D690" s="195"/>
      <c r="E690" s="195"/>
      <c r="F690" s="195"/>
      <c r="G690" s="195"/>
      <c r="H690" s="195"/>
      <c r="I690" s="195"/>
    </row>
    <row r="691" spans="1:9" ht="15" customHeight="1" x14ac:dyDescent="0.25">
      <c r="A691" s="193"/>
      <c r="B691" s="61"/>
      <c r="C691" s="61"/>
      <c r="D691" s="61"/>
      <c r="E691" s="61"/>
      <c r="F691" s="61"/>
      <c r="G691" s="61"/>
      <c r="H691" s="61"/>
      <c r="I691" s="61"/>
    </row>
    <row r="692" spans="1:9" ht="15" customHeight="1" x14ac:dyDescent="0.25">
      <c r="A692" s="194"/>
      <c r="B692" s="195"/>
      <c r="C692" s="195"/>
      <c r="D692" s="195"/>
      <c r="E692" s="195"/>
      <c r="F692" s="195"/>
      <c r="G692" s="195"/>
      <c r="H692" s="195"/>
      <c r="I692" s="195"/>
    </row>
    <row r="693" spans="1:9" ht="15" customHeight="1" x14ac:dyDescent="0.25">
      <c r="A693" s="193"/>
      <c r="B693" s="61"/>
      <c r="C693" s="61"/>
      <c r="D693" s="61"/>
      <c r="E693" s="61"/>
      <c r="F693" s="61"/>
      <c r="G693" s="61"/>
      <c r="H693" s="61"/>
      <c r="I693" s="61"/>
    </row>
    <row r="694" spans="1:9" ht="15" customHeight="1" x14ac:dyDescent="0.25">
      <c r="A694" s="194"/>
      <c r="B694" s="195"/>
      <c r="C694" s="195"/>
      <c r="D694" s="195"/>
      <c r="E694" s="195"/>
      <c r="F694" s="195"/>
      <c r="G694" s="195"/>
      <c r="H694" s="195"/>
      <c r="I694" s="195"/>
    </row>
    <row r="695" spans="1:9" ht="15" customHeight="1" x14ac:dyDescent="0.25">
      <c r="A695" s="193"/>
      <c r="B695" s="61"/>
      <c r="C695" s="61"/>
      <c r="D695" s="61"/>
      <c r="E695" s="61"/>
      <c r="F695" s="61"/>
      <c r="G695" s="61"/>
      <c r="H695" s="61"/>
      <c r="I695" s="61"/>
    </row>
    <row r="696" spans="1:9" ht="15" customHeight="1" x14ac:dyDescent="0.25">
      <c r="A696" s="194"/>
      <c r="B696" s="195"/>
      <c r="C696" s="195"/>
      <c r="D696" s="195"/>
      <c r="E696" s="195"/>
      <c r="F696" s="195"/>
      <c r="G696" s="195"/>
      <c r="H696" s="195"/>
      <c r="I696" s="195"/>
    </row>
    <row r="697" spans="1:9" ht="15" customHeight="1" x14ac:dyDescent="0.25">
      <c r="A697" s="193"/>
      <c r="B697" s="61"/>
      <c r="C697" s="61"/>
      <c r="D697" s="61"/>
      <c r="E697" s="61"/>
      <c r="F697" s="61"/>
      <c r="G697" s="61"/>
      <c r="H697" s="61"/>
      <c r="I697" s="61"/>
    </row>
    <row r="698" spans="1:9" ht="15" customHeight="1" x14ac:dyDescent="0.25">
      <c r="A698" s="194"/>
      <c r="B698" s="195"/>
      <c r="C698" s="195"/>
      <c r="D698" s="195"/>
      <c r="E698" s="195"/>
      <c r="F698" s="195"/>
      <c r="G698" s="195"/>
      <c r="H698" s="195"/>
      <c r="I698" s="195"/>
    </row>
    <row r="699" spans="1:9" ht="15" customHeight="1" x14ac:dyDescent="0.25">
      <c r="A699" s="193"/>
      <c r="B699" s="61"/>
      <c r="C699" s="61"/>
      <c r="D699" s="61"/>
      <c r="E699" s="61"/>
      <c r="F699" s="61"/>
      <c r="G699" s="61"/>
      <c r="H699" s="61"/>
      <c r="I699" s="61"/>
    </row>
    <row r="700" spans="1:9" ht="15" customHeight="1" x14ac:dyDescent="0.25">
      <c r="A700" s="194"/>
      <c r="B700" s="195"/>
      <c r="C700" s="195"/>
      <c r="D700" s="195"/>
      <c r="E700" s="195"/>
      <c r="F700" s="195"/>
      <c r="G700" s="195"/>
      <c r="H700" s="195"/>
      <c r="I700" s="195"/>
    </row>
    <row r="701" spans="1:9" ht="15" customHeight="1" x14ac:dyDescent="0.25">
      <c r="A701" s="193"/>
      <c r="B701" s="61"/>
      <c r="C701" s="61"/>
      <c r="D701" s="61"/>
      <c r="E701" s="61"/>
      <c r="F701" s="61"/>
      <c r="G701" s="61"/>
      <c r="H701" s="61"/>
      <c r="I701" s="61"/>
    </row>
    <row r="702" spans="1:9" ht="15" customHeight="1" x14ac:dyDescent="0.25">
      <c r="A702" s="194"/>
      <c r="B702" s="195"/>
      <c r="C702" s="195"/>
      <c r="D702" s="195"/>
      <c r="E702" s="195"/>
      <c r="F702" s="195"/>
      <c r="G702" s="195"/>
      <c r="H702" s="195"/>
      <c r="I702" s="195"/>
    </row>
    <row r="703" spans="1:9" ht="15" customHeight="1" x14ac:dyDescent="0.25">
      <c r="A703" s="193"/>
      <c r="B703" s="61"/>
      <c r="C703" s="61"/>
      <c r="D703" s="61"/>
      <c r="E703" s="61"/>
      <c r="F703" s="61"/>
      <c r="G703" s="61"/>
      <c r="H703" s="61"/>
      <c r="I703" s="61"/>
    </row>
    <row r="704" spans="1:9" ht="15" customHeight="1" x14ac:dyDescent="0.25">
      <c r="A704" s="194"/>
      <c r="B704" s="195"/>
      <c r="C704" s="195"/>
      <c r="D704" s="195"/>
      <c r="E704" s="195"/>
      <c r="F704" s="195"/>
      <c r="G704" s="195"/>
      <c r="H704" s="195"/>
      <c r="I704" s="195"/>
    </row>
    <row r="705" spans="1:9" ht="15" customHeight="1" x14ac:dyDescent="0.25">
      <c r="A705" s="193"/>
      <c r="B705" s="61"/>
      <c r="C705" s="61"/>
      <c r="D705" s="61"/>
      <c r="E705" s="61"/>
      <c r="F705" s="61"/>
      <c r="G705" s="61"/>
      <c r="H705" s="61"/>
      <c r="I705" s="61"/>
    </row>
    <row r="706" spans="1:9" ht="15" customHeight="1" x14ac:dyDescent="0.25">
      <c r="A706" s="194"/>
      <c r="B706" s="195"/>
      <c r="C706" s="195"/>
      <c r="D706" s="195"/>
      <c r="E706" s="195"/>
      <c r="F706" s="195"/>
      <c r="G706" s="195"/>
      <c r="H706" s="195"/>
      <c r="I706" s="195"/>
    </row>
    <row r="707" spans="1:9" ht="15" customHeight="1" x14ac:dyDescent="0.25">
      <c r="A707" s="193"/>
      <c r="B707" s="61"/>
      <c r="C707" s="61"/>
      <c r="D707" s="61"/>
      <c r="E707" s="61"/>
      <c r="F707" s="61"/>
      <c r="G707" s="61"/>
      <c r="H707" s="61"/>
      <c r="I707" s="61"/>
    </row>
    <row r="708" spans="1:9" ht="15" customHeight="1" x14ac:dyDescent="0.25">
      <c r="A708" s="194"/>
      <c r="B708" s="195"/>
      <c r="C708" s="195"/>
      <c r="D708" s="195"/>
      <c r="E708" s="195"/>
      <c r="F708" s="195"/>
      <c r="G708" s="195"/>
      <c r="H708" s="195"/>
      <c r="I708" s="195"/>
    </row>
    <row r="709" spans="1:9" ht="15" customHeight="1" x14ac:dyDescent="0.25">
      <c r="A709" s="193"/>
      <c r="B709" s="61"/>
      <c r="C709" s="61"/>
      <c r="D709" s="61"/>
      <c r="E709" s="61"/>
      <c r="F709" s="61"/>
      <c r="G709" s="61"/>
      <c r="H709" s="61"/>
      <c r="I709" s="61"/>
    </row>
    <row r="710" spans="1:9" ht="15" customHeight="1" x14ac:dyDescent="0.25">
      <c r="A710" s="194"/>
      <c r="B710" s="195"/>
      <c r="C710" s="195"/>
      <c r="D710" s="195"/>
      <c r="E710" s="195"/>
      <c r="F710" s="195"/>
      <c r="G710" s="195"/>
      <c r="H710" s="195"/>
      <c r="I710" s="195"/>
    </row>
    <row r="711" spans="1:9" ht="15" customHeight="1" x14ac:dyDescent="0.25">
      <c r="A711" s="193"/>
      <c r="B711" s="61"/>
      <c r="C711" s="61"/>
      <c r="D711" s="61"/>
      <c r="E711" s="61"/>
      <c r="F711" s="61"/>
      <c r="G711" s="61"/>
      <c r="H711" s="61"/>
      <c r="I711" s="61"/>
    </row>
    <row r="712" spans="1:9" ht="15" customHeight="1" x14ac:dyDescent="0.25">
      <c r="A712" s="194"/>
      <c r="B712" s="195"/>
      <c r="C712" s="195"/>
      <c r="D712" s="195"/>
      <c r="E712" s="195"/>
      <c r="F712" s="195"/>
      <c r="G712" s="195"/>
      <c r="H712" s="195"/>
      <c r="I712" s="195"/>
    </row>
    <row r="713" spans="1:9" ht="15" customHeight="1" x14ac:dyDescent="0.25">
      <c r="A713" s="193"/>
      <c r="B713" s="61"/>
      <c r="C713" s="61"/>
      <c r="D713" s="61"/>
      <c r="E713" s="61"/>
      <c r="F713" s="61"/>
      <c r="G713" s="61"/>
      <c r="H713" s="61"/>
      <c r="I713" s="61"/>
    </row>
    <row r="714" spans="1:9" ht="15" customHeight="1" x14ac:dyDescent="0.25">
      <c r="A714" s="194"/>
      <c r="B714" s="195"/>
      <c r="C714" s="195"/>
      <c r="D714" s="195"/>
      <c r="E714" s="195"/>
      <c r="F714" s="195"/>
      <c r="G714" s="195"/>
      <c r="H714" s="195"/>
      <c r="I714" s="195"/>
    </row>
    <row r="715" spans="1:9" ht="15" customHeight="1" x14ac:dyDescent="0.25">
      <c r="A715" s="193"/>
      <c r="B715" s="61"/>
      <c r="C715" s="61"/>
      <c r="D715" s="61"/>
      <c r="E715" s="61"/>
      <c r="F715" s="61"/>
      <c r="G715" s="61"/>
      <c r="H715" s="61"/>
      <c r="I715" s="61"/>
    </row>
    <row r="716" spans="1:9" ht="15" customHeight="1" x14ac:dyDescent="0.25">
      <c r="A716" s="194"/>
      <c r="B716" s="195"/>
      <c r="C716" s="195"/>
      <c r="D716" s="195"/>
      <c r="E716" s="195"/>
      <c r="F716" s="195"/>
      <c r="G716" s="195"/>
      <c r="H716" s="195"/>
      <c r="I716" s="195"/>
    </row>
    <row r="717" spans="1:9" ht="15" customHeight="1" x14ac:dyDescent="0.25">
      <c r="A717" s="193"/>
      <c r="B717" s="61"/>
      <c r="C717" s="61"/>
      <c r="D717" s="61"/>
      <c r="E717" s="61"/>
      <c r="F717" s="61"/>
      <c r="G717" s="61"/>
      <c r="H717" s="61"/>
      <c r="I717" s="61"/>
    </row>
    <row r="718" spans="1:9" ht="15" customHeight="1" x14ac:dyDescent="0.25">
      <c r="A718" s="194"/>
      <c r="B718" s="195"/>
      <c r="C718" s="195"/>
      <c r="D718" s="195"/>
      <c r="E718" s="195"/>
      <c r="F718" s="195"/>
      <c r="G718" s="195"/>
      <c r="H718" s="195"/>
      <c r="I718" s="195"/>
    </row>
    <row r="719" spans="1:9" ht="15" customHeight="1" x14ac:dyDescent="0.25">
      <c r="A719" s="193"/>
      <c r="B719" s="61"/>
      <c r="C719" s="61"/>
      <c r="D719" s="61"/>
      <c r="E719" s="61"/>
      <c r="F719" s="61"/>
      <c r="G719" s="61"/>
      <c r="H719" s="61"/>
      <c r="I719" s="61"/>
    </row>
    <row r="720" spans="1:9" ht="15" customHeight="1" x14ac:dyDescent="0.25">
      <c r="A720" s="194"/>
      <c r="B720" s="195"/>
      <c r="C720" s="195"/>
      <c r="D720" s="195"/>
      <c r="E720" s="195"/>
      <c r="F720" s="195"/>
      <c r="G720" s="195"/>
      <c r="H720" s="195"/>
      <c r="I720" s="195"/>
    </row>
    <row r="721" spans="1:9" ht="15" customHeight="1" x14ac:dyDescent="0.25">
      <c r="A721" s="193"/>
      <c r="B721" s="61"/>
      <c r="C721" s="61"/>
      <c r="D721" s="61"/>
      <c r="E721" s="61"/>
      <c r="F721" s="61"/>
      <c r="G721" s="61"/>
      <c r="H721" s="61"/>
      <c r="I721" s="61"/>
    </row>
    <row r="722" spans="1:9" ht="15" customHeight="1" x14ac:dyDescent="0.25">
      <c r="A722" s="194"/>
      <c r="B722" s="195"/>
      <c r="C722" s="195"/>
      <c r="D722" s="195"/>
      <c r="E722" s="195"/>
      <c r="F722" s="195"/>
      <c r="G722" s="195"/>
      <c r="H722" s="195"/>
      <c r="I722" s="195"/>
    </row>
    <row r="723" spans="1:9" ht="15" customHeight="1" x14ac:dyDescent="0.25">
      <c r="A723" s="193"/>
      <c r="B723" s="61"/>
      <c r="C723" s="61"/>
      <c r="D723" s="61"/>
      <c r="E723" s="61"/>
      <c r="F723" s="61"/>
      <c r="G723" s="61"/>
      <c r="H723" s="61"/>
      <c r="I723" s="61"/>
    </row>
    <row r="724" spans="1:9" ht="15" customHeight="1" x14ac:dyDescent="0.25">
      <c r="A724" s="194"/>
      <c r="B724" s="195"/>
      <c r="C724" s="195"/>
      <c r="D724" s="195"/>
      <c r="E724" s="195"/>
      <c r="F724" s="195"/>
      <c r="G724" s="195"/>
      <c r="H724" s="195"/>
      <c r="I724" s="195"/>
    </row>
    <row r="725" spans="1:9" ht="15" customHeight="1" x14ac:dyDescent="0.25">
      <c r="A725" s="193"/>
      <c r="B725" s="61"/>
      <c r="C725" s="61"/>
      <c r="D725" s="61"/>
      <c r="E725" s="61"/>
      <c r="F725" s="61"/>
      <c r="G725" s="61"/>
      <c r="H725" s="61"/>
      <c r="I725" s="61"/>
    </row>
    <row r="726" spans="1:9" ht="15" customHeight="1" x14ac:dyDescent="0.25">
      <c r="A726" s="194"/>
      <c r="B726" s="195"/>
      <c r="C726" s="195"/>
      <c r="D726" s="195"/>
      <c r="E726" s="195"/>
      <c r="F726" s="195"/>
      <c r="G726" s="195"/>
      <c r="H726" s="195"/>
      <c r="I726" s="195"/>
    </row>
    <row r="727" spans="1:9" ht="15" customHeight="1" x14ac:dyDescent="0.25">
      <c r="A727" s="193"/>
      <c r="B727" s="61"/>
      <c r="C727" s="61"/>
      <c r="D727" s="61"/>
      <c r="E727" s="61"/>
      <c r="F727" s="61"/>
      <c r="G727" s="61"/>
      <c r="H727" s="61"/>
      <c r="I727" s="61"/>
    </row>
    <row r="728" spans="1:9" ht="15" customHeight="1" x14ac:dyDescent="0.25">
      <c r="A728" s="194"/>
      <c r="B728" s="195"/>
      <c r="C728" s="195"/>
      <c r="D728" s="195"/>
      <c r="E728" s="195"/>
      <c r="F728" s="195"/>
      <c r="G728" s="195"/>
      <c r="H728" s="195"/>
      <c r="I728" s="195"/>
    </row>
    <row r="729" spans="1:9" ht="15" customHeight="1" x14ac:dyDescent="0.25">
      <c r="A729" s="193"/>
      <c r="B729" s="61"/>
      <c r="C729" s="61"/>
      <c r="D729" s="61"/>
      <c r="E729" s="61"/>
      <c r="F729" s="61"/>
      <c r="G729" s="61"/>
      <c r="H729" s="61"/>
      <c r="I729" s="61"/>
    </row>
    <row r="730" spans="1:9" ht="15" customHeight="1" x14ac:dyDescent="0.25">
      <c r="A730" s="194"/>
      <c r="B730" s="195"/>
      <c r="C730" s="195"/>
      <c r="D730" s="195"/>
      <c r="E730" s="195"/>
      <c r="F730" s="195"/>
      <c r="G730" s="195"/>
      <c r="H730" s="195"/>
      <c r="I730" s="195"/>
    </row>
    <row r="731" spans="1:9" ht="15" customHeight="1" x14ac:dyDescent="0.25">
      <c r="A731" s="193"/>
      <c r="B731" s="61"/>
      <c r="C731" s="61"/>
      <c r="D731" s="61"/>
      <c r="E731" s="61"/>
      <c r="F731" s="61"/>
      <c r="G731" s="61"/>
      <c r="H731" s="61"/>
      <c r="I731" s="61"/>
    </row>
    <row r="732" spans="1:9" ht="15" customHeight="1" x14ac:dyDescent="0.25">
      <c r="A732" s="194"/>
      <c r="B732" s="195"/>
      <c r="C732" s="195"/>
      <c r="D732" s="195"/>
      <c r="E732" s="195"/>
      <c r="F732" s="195"/>
      <c r="G732" s="195"/>
      <c r="H732" s="195"/>
      <c r="I732" s="195"/>
    </row>
    <row r="733" spans="1:9" ht="15" customHeight="1" x14ac:dyDescent="0.25">
      <c r="A733" s="193"/>
      <c r="B733" s="61"/>
      <c r="C733" s="61"/>
      <c r="D733" s="61"/>
      <c r="E733" s="61"/>
      <c r="F733" s="61"/>
      <c r="G733" s="61"/>
      <c r="H733" s="61"/>
      <c r="I733" s="61"/>
    </row>
    <row r="734" spans="1:9" ht="15" customHeight="1" x14ac:dyDescent="0.25">
      <c r="A734" s="194"/>
      <c r="B734" s="195"/>
      <c r="C734" s="195"/>
      <c r="D734" s="195"/>
      <c r="E734" s="195"/>
      <c r="F734" s="195"/>
      <c r="G734" s="195"/>
      <c r="H734" s="195"/>
      <c r="I734" s="195"/>
    </row>
    <row r="735" spans="1:9" ht="15" customHeight="1" x14ac:dyDescent="0.25">
      <c r="A735" s="193"/>
      <c r="B735" s="61"/>
      <c r="C735" s="61"/>
      <c r="D735" s="61"/>
      <c r="E735" s="61"/>
      <c r="F735" s="61"/>
      <c r="G735" s="61"/>
      <c r="H735" s="61"/>
      <c r="I735" s="61"/>
    </row>
    <row r="736" spans="1:9" ht="15" customHeight="1" x14ac:dyDescent="0.25">
      <c r="A736" s="194"/>
      <c r="B736" s="195"/>
      <c r="C736" s="195"/>
      <c r="D736" s="195"/>
      <c r="E736" s="195"/>
      <c r="F736" s="195"/>
      <c r="G736" s="195"/>
      <c r="H736" s="195"/>
      <c r="I736" s="195"/>
    </row>
    <row r="737" spans="1:9" ht="15" customHeight="1" x14ac:dyDescent="0.25">
      <c r="A737" s="193"/>
      <c r="B737" s="61"/>
      <c r="C737" s="61"/>
      <c r="D737" s="61"/>
      <c r="E737" s="61"/>
      <c r="F737" s="61"/>
      <c r="G737" s="61"/>
      <c r="H737" s="61"/>
      <c r="I737" s="61"/>
    </row>
    <row r="738" spans="1:9" ht="15" customHeight="1" x14ac:dyDescent="0.25">
      <c r="A738" s="194"/>
      <c r="B738" s="195"/>
      <c r="C738" s="195"/>
      <c r="D738" s="195"/>
      <c r="E738" s="195"/>
      <c r="F738" s="195"/>
      <c r="G738" s="195"/>
      <c r="H738" s="195"/>
      <c r="I738" s="195"/>
    </row>
    <row r="739" spans="1:9" ht="15" customHeight="1" x14ac:dyDescent="0.25">
      <c r="A739" s="193"/>
      <c r="B739" s="61"/>
      <c r="C739" s="61"/>
      <c r="D739" s="61"/>
      <c r="E739" s="61"/>
      <c r="F739" s="61"/>
      <c r="G739" s="61"/>
      <c r="H739" s="61"/>
      <c r="I739" s="61"/>
    </row>
    <row r="740" spans="1:9" ht="15" customHeight="1" x14ac:dyDescent="0.25">
      <c r="A740" s="194"/>
      <c r="B740" s="195"/>
      <c r="C740" s="195"/>
      <c r="D740" s="195"/>
      <c r="E740" s="195"/>
      <c r="F740" s="195"/>
      <c r="G740" s="195"/>
      <c r="H740" s="195"/>
      <c r="I740" s="195"/>
    </row>
    <row r="741" spans="1:9" ht="15" customHeight="1" x14ac:dyDescent="0.25">
      <c r="A741" s="193"/>
      <c r="B741" s="61"/>
      <c r="C741" s="61"/>
      <c r="D741" s="61"/>
      <c r="E741" s="61"/>
      <c r="F741" s="61"/>
      <c r="G741" s="61"/>
      <c r="H741" s="61"/>
      <c r="I741" s="61"/>
    </row>
    <row r="742" spans="1:9" ht="15" customHeight="1" x14ac:dyDescent="0.25">
      <c r="A742" s="194"/>
      <c r="B742" s="195"/>
      <c r="C742" s="195"/>
      <c r="D742" s="195"/>
      <c r="E742" s="195"/>
      <c r="F742" s="195"/>
      <c r="G742" s="195"/>
      <c r="H742" s="195"/>
      <c r="I742" s="195"/>
    </row>
    <row r="743" spans="1:9" ht="15" customHeight="1" x14ac:dyDescent="0.25">
      <c r="A743" s="193"/>
      <c r="B743" s="61"/>
      <c r="C743" s="61"/>
      <c r="D743" s="61"/>
      <c r="E743" s="61"/>
      <c r="F743" s="61"/>
      <c r="G743" s="61"/>
      <c r="H743" s="61"/>
      <c r="I743" s="61"/>
    </row>
    <row r="744" spans="1:9" ht="15" customHeight="1" x14ac:dyDescent="0.25">
      <c r="A744" s="194"/>
      <c r="B744" s="195"/>
      <c r="C744" s="195"/>
      <c r="D744" s="195"/>
      <c r="E744" s="195"/>
      <c r="F744" s="195"/>
      <c r="G744" s="195"/>
      <c r="H744" s="195"/>
      <c r="I744" s="195"/>
    </row>
    <row r="745" spans="1:9" ht="15" customHeight="1" x14ac:dyDescent="0.25">
      <c r="A745" s="193"/>
      <c r="B745" s="61"/>
      <c r="C745" s="61"/>
      <c r="D745" s="61"/>
      <c r="E745" s="61"/>
      <c r="F745" s="61"/>
      <c r="G745" s="61"/>
      <c r="H745" s="61"/>
      <c r="I745" s="61"/>
    </row>
    <row r="746" spans="1:9" ht="15" customHeight="1" x14ac:dyDescent="0.25">
      <c r="A746" s="194"/>
      <c r="B746" s="195"/>
      <c r="C746" s="195"/>
      <c r="D746" s="195"/>
      <c r="E746" s="195"/>
      <c r="F746" s="195"/>
      <c r="G746" s="195"/>
      <c r="H746" s="195"/>
      <c r="I746" s="195"/>
    </row>
    <row r="747" spans="1:9" ht="15" customHeight="1" x14ac:dyDescent="0.25">
      <c r="A747" s="193"/>
      <c r="B747" s="61"/>
      <c r="C747" s="61"/>
      <c r="D747" s="61"/>
      <c r="E747" s="61"/>
      <c r="F747" s="61"/>
      <c r="G747" s="61"/>
      <c r="H747" s="61"/>
      <c r="I747" s="61"/>
    </row>
    <row r="748" spans="1:9" ht="15" customHeight="1" x14ac:dyDescent="0.25">
      <c r="A748" s="194"/>
      <c r="B748" s="195"/>
      <c r="C748" s="195"/>
      <c r="D748" s="195"/>
      <c r="E748" s="195"/>
      <c r="F748" s="195"/>
      <c r="G748" s="195"/>
      <c r="H748" s="195"/>
      <c r="I748" s="195"/>
    </row>
    <row r="749" spans="1:9" ht="15" customHeight="1" x14ac:dyDescent="0.25">
      <c r="A749" s="193"/>
      <c r="B749" s="61"/>
      <c r="C749" s="61"/>
      <c r="D749" s="61"/>
      <c r="E749" s="61"/>
      <c r="F749" s="61"/>
      <c r="G749" s="61"/>
      <c r="H749" s="61"/>
      <c r="I749" s="61"/>
    </row>
    <row r="750" spans="1:9" ht="15" customHeight="1" x14ac:dyDescent="0.25">
      <c r="A750" s="194"/>
      <c r="B750" s="195"/>
      <c r="C750" s="195"/>
      <c r="D750" s="195"/>
      <c r="E750" s="195"/>
      <c r="F750" s="195"/>
      <c r="G750" s="195"/>
      <c r="H750" s="195"/>
      <c r="I750" s="195"/>
    </row>
    <row r="751" spans="1:9" ht="15" customHeight="1" x14ac:dyDescent="0.25">
      <c r="A751" s="193"/>
      <c r="B751" s="61"/>
      <c r="C751" s="61"/>
      <c r="D751" s="61"/>
      <c r="E751" s="61"/>
      <c r="F751" s="61"/>
      <c r="G751" s="61"/>
      <c r="H751" s="61"/>
      <c r="I751" s="61"/>
    </row>
    <row r="752" spans="1:9" ht="15" customHeight="1" x14ac:dyDescent="0.25">
      <c r="A752" s="194"/>
      <c r="B752" s="195"/>
      <c r="C752" s="195"/>
      <c r="D752" s="195"/>
      <c r="E752" s="195"/>
      <c r="F752" s="195"/>
      <c r="G752" s="195"/>
      <c r="H752" s="195"/>
      <c r="I752" s="195"/>
    </row>
    <row r="753" spans="1:9" ht="15" customHeight="1" x14ac:dyDescent="0.25">
      <c r="A753" s="193"/>
      <c r="B753" s="61"/>
      <c r="C753" s="61"/>
      <c r="D753" s="61"/>
      <c r="E753" s="61"/>
      <c r="F753" s="61"/>
      <c r="G753" s="61"/>
      <c r="H753" s="61"/>
      <c r="I753" s="61"/>
    </row>
    <row r="754" spans="1:9" ht="15" customHeight="1" x14ac:dyDescent="0.25">
      <c r="A754" s="194"/>
      <c r="B754" s="195"/>
      <c r="C754" s="195"/>
      <c r="D754" s="195"/>
      <c r="E754" s="195"/>
      <c r="F754" s="195"/>
      <c r="G754" s="195"/>
      <c r="H754" s="195"/>
      <c r="I754" s="195"/>
    </row>
    <row r="755" spans="1:9" ht="15" customHeight="1" x14ac:dyDescent="0.25">
      <c r="A755" s="193"/>
      <c r="B755" s="61"/>
      <c r="C755" s="61"/>
      <c r="D755" s="61"/>
      <c r="E755" s="61"/>
      <c r="F755" s="61"/>
      <c r="G755" s="61"/>
      <c r="H755" s="61"/>
      <c r="I755" s="61"/>
    </row>
    <row r="756" spans="1:9" ht="15" customHeight="1" x14ac:dyDescent="0.25">
      <c r="A756" s="194"/>
      <c r="B756" s="195"/>
      <c r="C756" s="195"/>
      <c r="D756" s="195"/>
      <c r="E756" s="195"/>
      <c r="F756" s="195"/>
      <c r="G756" s="195"/>
      <c r="H756" s="195"/>
      <c r="I756" s="195"/>
    </row>
    <row r="757" spans="1:9" ht="15" customHeight="1" x14ac:dyDescent="0.25">
      <c r="A757" s="193"/>
      <c r="B757" s="61"/>
      <c r="C757" s="61"/>
      <c r="D757" s="61"/>
      <c r="E757" s="61"/>
      <c r="F757" s="61"/>
      <c r="G757" s="61"/>
      <c r="H757" s="61"/>
      <c r="I757" s="61"/>
    </row>
    <row r="758" spans="1:9" ht="15" customHeight="1" x14ac:dyDescent="0.25">
      <c r="A758" s="194"/>
      <c r="B758" s="195"/>
      <c r="C758" s="195"/>
      <c r="D758" s="195"/>
      <c r="E758" s="195"/>
      <c r="F758" s="195"/>
      <c r="G758" s="195"/>
      <c r="H758" s="195"/>
      <c r="I758" s="195"/>
    </row>
    <row r="759" spans="1:9" ht="15" customHeight="1" x14ac:dyDescent="0.25">
      <c r="A759" s="193"/>
      <c r="B759" s="61"/>
      <c r="C759" s="61"/>
      <c r="D759" s="61"/>
      <c r="E759" s="61"/>
      <c r="F759" s="61"/>
      <c r="G759" s="61"/>
      <c r="H759" s="61"/>
      <c r="I759" s="61"/>
    </row>
    <row r="760" spans="1:9" ht="15" customHeight="1" x14ac:dyDescent="0.25">
      <c r="A760" s="194"/>
      <c r="B760" s="195"/>
      <c r="C760" s="195"/>
      <c r="D760" s="195"/>
      <c r="E760" s="195"/>
      <c r="F760" s="195"/>
      <c r="G760" s="195"/>
      <c r="H760" s="195"/>
      <c r="I760" s="195"/>
    </row>
    <row r="761" spans="1:9" ht="15" customHeight="1" x14ac:dyDescent="0.25">
      <c r="A761" s="193"/>
      <c r="B761" s="61"/>
      <c r="C761" s="61"/>
      <c r="D761" s="61"/>
      <c r="E761" s="61"/>
      <c r="F761" s="61"/>
      <c r="G761" s="61"/>
      <c r="H761" s="61"/>
      <c r="I761" s="61"/>
    </row>
    <row r="762" spans="1:9" ht="15" customHeight="1" x14ac:dyDescent="0.25">
      <c r="A762" s="194"/>
      <c r="B762" s="195"/>
      <c r="C762" s="195"/>
      <c r="D762" s="195"/>
      <c r="E762" s="195"/>
      <c r="F762" s="195"/>
      <c r="G762" s="195"/>
      <c r="H762" s="195"/>
      <c r="I762" s="195"/>
    </row>
    <row r="763" spans="1:9" ht="15" customHeight="1" x14ac:dyDescent="0.25">
      <c r="A763" s="193"/>
      <c r="B763" s="61"/>
      <c r="C763" s="61"/>
      <c r="D763" s="61"/>
      <c r="E763" s="61"/>
      <c r="F763" s="61"/>
      <c r="G763" s="61"/>
      <c r="H763" s="61"/>
      <c r="I763" s="61"/>
    </row>
    <row r="764" spans="1:9" ht="15" customHeight="1" x14ac:dyDescent="0.25">
      <c r="A764" s="194"/>
      <c r="B764" s="195"/>
      <c r="C764" s="195"/>
      <c r="D764" s="195"/>
      <c r="E764" s="195"/>
      <c r="F764" s="195"/>
      <c r="G764" s="195"/>
      <c r="H764" s="195"/>
      <c r="I764" s="195"/>
    </row>
    <row r="765" spans="1:9" ht="15" customHeight="1" x14ac:dyDescent="0.25">
      <c r="A765" s="193"/>
      <c r="B765" s="61"/>
      <c r="C765" s="61"/>
      <c r="D765" s="61"/>
      <c r="E765" s="61"/>
      <c r="F765" s="61"/>
      <c r="G765" s="61"/>
      <c r="H765" s="61"/>
      <c r="I765" s="61"/>
    </row>
    <row r="766" spans="1:9" ht="15" customHeight="1" x14ac:dyDescent="0.25">
      <c r="A766" s="194"/>
      <c r="B766" s="195"/>
      <c r="C766" s="195"/>
      <c r="D766" s="195"/>
      <c r="E766" s="195"/>
      <c r="F766" s="195"/>
      <c r="G766" s="195"/>
      <c r="H766" s="195"/>
      <c r="I766" s="195"/>
    </row>
    <row r="767" spans="1:9" ht="15" customHeight="1" x14ac:dyDescent="0.25">
      <c r="A767" s="193"/>
      <c r="B767" s="61"/>
      <c r="C767" s="61"/>
      <c r="D767" s="61"/>
      <c r="E767" s="61"/>
      <c r="F767" s="61"/>
      <c r="G767" s="61"/>
      <c r="H767" s="61"/>
      <c r="I767" s="61"/>
    </row>
    <row r="768" spans="1:9" ht="15" customHeight="1" x14ac:dyDescent="0.25">
      <c r="A768" s="194"/>
      <c r="B768" s="195"/>
      <c r="C768" s="195"/>
      <c r="D768" s="195"/>
      <c r="E768" s="195"/>
      <c r="F768" s="195"/>
      <c r="G768" s="195"/>
      <c r="H768" s="195"/>
      <c r="I768" s="195"/>
    </row>
    <row r="769" spans="1:9" ht="15" customHeight="1" x14ac:dyDescent="0.25">
      <c r="A769" s="193"/>
      <c r="B769" s="61"/>
      <c r="C769" s="61"/>
      <c r="D769" s="61"/>
      <c r="E769" s="61"/>
      <c r="F769" s="61"/>
      <c r="G769" s="61"/>
      <c r="H769" s="61"/>
      <c r="I769" s="61"/>
    </row>
    <row r="770" spans="1:9" ht="15" customHeight="1" x14ac:dyDescent="0.25">
      <c r="A770" s="194"/>
      <c r="B770" s="195"/>
      <c r="C770" s="195"/>
      <c r="D770" s="195"/>
      <c r="E770" s="195"/>
      <c r="F770" s="195"/>
      <c r="G770" s="195"/>
      <c r="H770" s="195"/>
      <c r="I770" s="195"/>
    </row>
    <row r="771" spans="1:9" ht="15" customHeight="1" x14ac:dyDescent="0.25">
      <c r="A771" s="193"/>
      <c r="B771" s="61"/>
      <c r="C771" s="61"/>
      <c r="D771" s="61"/>
      <c r="E771" s="61"/>
      <c r="F771" s="61"/>
      <c r="G771" s="61"/>
      <c r="H771" s="61"/>
      <c r="I771" s="61"/>
    </row>
    <row r="772" spans="1:9" ht="15" customHeight="1" x14ac:dyDescent="0.25">
      <c r="A772" s="194"/>
      <c r="B772" s="195"/>
      <c r="C772" s="195"/>
      <c r="D772" s="195"/>
      <c r="E772" s="195"/>
      <c r="F772" s="195"/>
      <c r="G772" s="195"/>
      <c r="H772" s="195"/>
      <c r="I772" s="195"/>
    </row>
    <row r="773" spans="1:9" ht="15" customHeight="1" x14ac:dyDescent="0.25">
      <c r="A773" s="193"/>
      <c r="B773" s="61"/>
      <c r="C773" s="61"/>
      <c r="D773" s="61"/>
      <c r="E773" s="61"/>
      <c r="F773" s="61"/>
      <c r="G773" s="61"/>
      <c r="H773" s="61"/>
      <c r="I773" s="61"/>
    </row>
    <row r="774" spans="1:9" ht="15" customHeight="1" x14ac:dyDescent="0.25">
      <c r="A774" s="194"/>
      <c r="B774" s="195"/>
      <c r="C774" s="195"/>
      <c r="D774" s="195"/>
      <c r="E774" s="195"/>
      <c r="F774" s="195"/>
      <c r="G774" s="195"/>
      <c r="H774" s="195"/>
      <c r="I774" s="195"/>
    </row>
    <row r="775" spans="1:9" ht="15" customHeight="1" x14ac:dyDescent="0.25">
      <c r="A775" s="193"/>
      <c r="B775" s="61"/>
      <c r="C775" s="61"/>
      <c r="D775" s="61"/>
      <c r="E775" s="61"/>
      <c r="F775" s="61"/>
      <c r="G775" s="61"/>
      <c r="H775" s="61"/>
      <c r="I775" s="61"/>
    </row>
    <row r="776" spans="1:9" ht="15" customHeight="1" x14ac:dyDescent="0.25">
      <c r="A776" s="194"/>
      <c r="B776" s="195"/>
      <c r="C776" s="195"/>
      <c r="D776" s="195"/>
      <c r="E776" s="195"/>
      <c r="F776" s="195"/>
      <c r="G776" s="195"/>
      <c r="H776" s="195"/>
      <c r="I776" s="195"/>
    </row>
    <row r="777" spans="1:9" ht="15" customHeight="1" x14ac:dyDescent="0.25">
      <c r="A777" s="193"/>
      <c r="B777" s="61"/>
      <c r="C777" s="61"/>
      <c r="D777" s="61"/>
      <c r="E777" s="61"/>
      <c r="F777" s="61"/>
      <c r="G777" s="61"/>
      <c r="H777" s="61"/>
      <c r="I777" s="61"/>
    </row>
    <row r="778" spans="1:9" ht="15" customHeight="1" x14ac:dyDescent="0.25">
      <c r="A778" s="194"/>
      <c r="B778" s="195"/>
      <c r="C778" s="195"/>
      <c r="D778" s="195"/>
      <c r="E778" s="195"/>
      <c r="F778" s="195"/>
      <c r="G778" s="195"/>
      <c r="H778" s="195"/>
      <c r="I778" s="195"/>
    </row>
    <row r="779" spans="1:9" ht="15" customHeight="1" x14ac:dyDescent="0.25">
      <c r="A779" s="193"/>
      <c r="B779" s="61"/>
      <c r="C779" s="61"/>
      <c r="D779" s="61"/>
      <c r="E779" s="61"/>
      <c r="F779" s="61"/>
      <c r="G779" s="61"/>
      <c r="H779" s="61"/>
      <c r="I779" s="61"/>
    </row>
    <row r="780" spans="1:9" ht="15" customHeight="1" x14ac:dyDescent="0.25">
      <c r="A780" s="194"/>
      <c r="B780" s="195"/>
      <c r="C780" s="195"/>
      <c r="D780" s="195"/>
      <c r="E780" s="195"/>
      <c r="F780" s="195"/>
      <c r="G780" s="195"/>
      <c r="H780" s="195"/>
      <c r="I780" s="195"/>
    </row>
    <row r="781" spans="1:9" ht="15" customHeight="1" x14ac:dyDescent="0.25">
      <c r="A781" s="193"/>
      <c r="B781" s="61"/>
      <c r="C781" s="61"/>
      <c r="D781" s="61"/>
      <c r="E781" s="61"/>
      <c r="F781" s="61"/>
      <c r="G781" s="61"/>
      <c r="H781" s="61"/>
      <c r="I781" s="61"/>
    </row>
    <row r="782" spans="1:9" ht="15" customHeight="1" x14ac:dyDescent="0.25">
      <c r="A782" s="194"/>
      <c r="B782" s="195"/>
      <c r="C782" s="195"/>
      <c r="D782" s="195"/>
      <c r="E782" s="195"/>
      <c r="F782" s="195"/>
      <c r="G782" s="195"/>
      <c r="H782" s="195"/>
      <c r="I782" s="195"/>
    </row>
    <row r="783" spans="1:9" ht="15" customHeight="1" x14ac:dyDescent="0.25">
      <c r="A783" s="193"/>
      <c r="B783" s="61"/>
      <c r="C783" s="61"/>
      <c r="D783" s="61"/>
      <c r="E783" s="61"/>
      <c r="F783" s="61"/>
      <c r="G783" s="61"/>
      <c r="H783" s="61"/>
      <c r="I783" s="61"/>
    </row>
    <row r="784" spans="1:9" ht="15" customHeight="1" x14ac:dyDescent="0.25">
      <c r="A784" s="194"/>
      <c r="B784" s="195"/>
      <c r="C784" s="195"/>
      <c r="D784" s="195"/>
      <c r="E784" s="195"/>
      <c r="F784" s="195"/>
      <c r="G784" s="195"/>
      <c r="H784" s="195"/>
      <c r="I784" s="195"/>
    </row>
    <row r="785" spans="1:9" ht="15" customHeight="1" x14ac:dyDescent="0.25">
      <c r="A785" s="193"/>
      <c r="B785" s="61"/>
      <c r="C785" s="61"/>
      <c r="D785" s="61"/>
      <c r="E785" s="61"/>
      <c r="F785" s="61"/>
      <c r="G785" s="61"/>
      <c r="H785" s="61"/>
      <c r="I785" s="61"/>
    </row>
    <row r="786" spans="1:9" ht="15" customHeight="1" x14ac:dyDescent="0.25">
      <c r="A786" s="194"/>
      <c r="B786" s="195"/>
      <c r="C786" s="195"/>
      <c r="D786" s="195"/>
      <c r="E786" s="195"/>
      <c r="F786" s="195"/>
      <c r="G786" s="195"/>
      <c r="H786" s="195"/>
      <c r="I786" s="195"/>
    </row>
    <row r="787" spans="1:9" ht="15" customHeight="1" x14ac:dyDescent="0.25">
      <c r="A787" s="193"/>
      <c r="B787" s="61"/>
      <c r="C787" s="61"/>
      <c r="D787" s="61"/>
      <c r="E787" s="61"/>
      <c r="F787" s="61"/>
      <c r="G787" s="61"/>
      <c r="H787" s="61"/>
      <c r="I787" s="61"/>
    </row>
    <row r="788" spans="1:9" ht="15" customHeight="1" x14ac:dyDescent="0.25">
      <c r="A788" s="194"/>
      <c r="B788" s="195"/>
      <c r="C788" s="195"/>
      <c r="D788" s="195"/>
      <c r="E788" s="195"/>
      <c r="F788" s="195"/>
      <c r="G788" s="195"/>
      <c r="H788" s="195"/>
      <c r="I788" s="195"/>
    </row>
    <row r="789" spans="1:9" ht="15" customHeight="1" x14ac:dyDescent="0.25">
      <c r="A789" s="193"/>
      <c r="B789" s="61"/>
      <c r="C789" s="61"/>
      <c r="D789" s="61"/>
      <c r="E789" s="61"/>
      <c r="F789" s="61"/>
      <c r="G789" s="61"/>
      <c r="H789" s="61"/>
      <c r="I789" s="61"/>
    </row>
    <row r="790" spans="1:9" ht="15" customHeight="1" x14ac:dyDescent="0.25">
      <c r="A790" s="194"/>
      <c r="B790" s="195"/>
      <c r="C790" s="195"/>
      <c r="D790" s="195"/>
      <c r="E790" s="195"/>
      <c r="F790" s="195"/>
      <c r="G790" s="195"/>
      <c r="H790" s="195"/>
      <c r="I790" s="195"/>
    </row>
    <row r="791" spans="1:9" ht="15" customHeight="1" x14ac:dyDescent="0.25">
      <c r="A791" s="193"/>
      <c r="B791" s="61"/>
      <c r="C791" s="61"/>
      <c r="D791" s="61"/>
      <c r="E791" s="61"/>
      <c r="F791" s="61"/>
      <c r="G791" s="61"/>
      <c r="H791" s="61"/>
      <c r="I791" s="61"/>
    </row>
    <row r="792" spans="1:9" ht="15" customHeight="1" x14ac:dyDescent="0.25">
      <c r="A792" s="194"/>
      <c r="B792" s="195"/>
      <c r="C792" s="195"/>
      <c r="D792" s="195"/>
      <c r="E792" s="195"/>
      <c r="F792" s="195"/>
      <c r="G792" s="195"/>
      <c r="H792" s="195"/>
      <c r="I792" s="195"/>
    </row>
    <row r="793" spans="1:9" ht="15" customHeight="1" x14ac:dyDescent="0.25">
      <c r="A793" s="193"/>
      <c r="B793" s="61"/>
      <c r="C793" s="61"/>
      <c r="D793" s="61"/>
      <c r="E793" s="61"/>
      <c r="F793" s="61"/>
      <c r="G793" s="61"/>
      <c r="H793" s="61"/>
      <c r="I793" s="61"/>
    </row>
    <row r="794" spans="1:9" ht="15" customHeight="1" x14ac:dyDescent="0.25">
      <c r="A794" s="194"/>
      <c r="B794" s="195"/>
      <c r="C794" s="195"/>
      <c r="D794" s="195"/>
      <c r="E794" s="195"/>
      <c r="F794" s="195"/>
      <c r="G794" s="195"/>
      <c r="H794" s="195"/>
      <c r="I794" s="195"/>
    </row>
    <row r="795" spans="1:9" ht="15" customHeight="1" x14ac:dyDescent="0.25">
      <c r="A795" s="193"/>
      <c r="B795" s="61"/>
      <c r="C795" s="61"/>
      <c r="D795" s="61"/>
      <c r="E795" s="61"/>
      <c r="F795" s="61"/>
      <c r="G795" s="61"/>
      <c r="H795" s="61"/>
      <c r="I795" s="61"/>
    </row>
    <row r="796" spans="1:9" ht="15" customHeight="1" x14ac:dyDescent="0.25">
      <c r="A796" s="194"/>
      <c r="B796" s="195"/>
      <c r="C796" s="195"/>
      <c r="D796" s="195"/>
      <c r="E796" s="195"/>
      <c r="F796" s="195"/>
      <c r="G796" s="195"/>
      <c r="H796" s="195"/>
      <c r="I796" s="195"/>
    </row>
    <row r="797" spans="1:9" ht="15" customHeight="1" x14ac:dyDescent="0.25">
      <c r="A797" s="193"/>
      <c r="B797" s="61"/>
      <c r="C797" s="61"/>
      <c r="D797" s="61"/>
      <c r="E797" s="61"/>
      <c r="F797" s="61"/>
      <c r="G797" s="61"/>
      <c r="H797" s="61"/>
      <c r="I797" s="61"/>
    </row>
    <row r="798" spans="1:9" ht="15" customHeight="1" x14ac:dyDescent="0.25">
      <c r="A798" s="194"/>
      <c r="B798" s="195"/>
      <c r="C798" s="195"/>
      <c r="D798" s="195"/>
      <c r="E798" s="195"/>
      <c r="F798" s="195"/>
      <c r="G798" s="195"/>
      <c r="H798" s="195"/>
      <c r="I798" s="195"/>
    </row>
    <row r="799" spans="1:9" ht="15" customHeight="1" x14ac:dyDescent="0.25">
      <c r="A799" s="193"/>
      <c r="B799" s="61"/>
      <c r="C799" s="61"/>
      <c r="D799" s="61"/>
      <c r="E799" s="61"/>
      <c r="F799" s="61"/>
      <c r="G799" s="61"/>
      <c r="H799" s="61"/>
      <c r="I799" s="61"/>
    </row>
    <row r="800" spans="1:9" ht="15" customHeight="1" x14ac:dyDescent="0.25">
      <c r="A800" s="194"/>
      <c r="B800" s="195"/>
      <c r="C800" s="195"/>
      <c r="D800" s="195"/>
      <c r="E800" s="195"/>
      <c r="F800" s="195"/>
      <c r="G800" s="195"/>
      <c r="H800" s="195"/>
      <c r="I800" s="195"/>
    </row>
    <row r="801" spans="1:9" ht="15" customHeight="1" x14ac:dyDescent="0.25">
      <c r="A801" s="193"/>
      <c r="B801" s="61"/>
      <c r="C801" s="61"/>
      <c r="D801" s="61"/>
      <c r="E801" s="61"/>
      <c r="F801" s="61"/>
      <c r="G801" s="61"/>
      <c r="H801" s="61"/>
      <c r="I801" s="61"/>
    </row>
    <row r="802" spans="1:9" ht="15" customHeight="1" x14ac:dyDescent="0.25">
      <c r="A802" s="194"/>
      <c r="B802" s="195"/>
      <c r="C802" s="195"/>
      <c r="D802" s="195"/>
      <c r="E802" s="195"/>
      <c r="F802" s="195"/>
      <c r="G802" s="195"/>
      <c r="H802" s="195"/>
      <c r="I802" s="195"/>
    </row>
    <row r="803" spans="1:9" ht="15" customHeight="1" x14ac:dyDescent="0.25">
      <c r="A803" s="193"/>
      <c r="B803" s="61"/>
      <c r="C803" s="61"/>
      <c r="D803" s="61"/>
      <c r="E803" s="61"/>
      <c r="F803" s="61"/>
      <c r="G803" s="61"/>
      <c r="H803" s="61"/>
      <c r="I803" s="61"/>
    </row>
    <row r="804" spans="1:9" ht="15" customHeight="1" x14ac:dyDescent="0.25">
      <c r="A804" s="194"/>
      <c r="B804" s="195"/>
      <c r="C804" s="195"/>
      <c r="D804" s="195"/>
      <c r="E804" s="195"/>
      <c r="F804" s="195"/>
      <c r="G804" s="195"/>
      <c r="H804" s="195"/>
      <c r="I804" s="195"/>
    </row>
    <row r="805" spans="1:9" ht="15" customHeight="1" x14ac:dyDescent="0.25">
      <c r="A805" s="193"/>
      <c r="B805" s="61"/>
      <c r="C805" s="61"/>
      <c r="D805" s="61"/>
      <c r="E805" s="61"/>
      <c r="F805" s="61"/>
      <c r="G805" s="61"/>
      <c r="H805" s="61"/>
      <c r="I805" s="61"/>
    </row>
    <row r="806" spans="1:9" ht="15" customHeight="1" x14ac:dyDescent="0.25">
      <c r="A806" s="194"/>
      <c r="B806" s="195"/>
      <c r="C806" s="195"/>
      <c r="D806" s="195"/>
      <c r="E806" s="195"/>
      <c r="F806" s="195"/>
      <c r="G806" s="195"/>
      <c r="H806" s="195"/>
      <c r="I806" s="195"/>
    </row>
    <row r="807" spans="1:9" ht="15" customHeight="1" x14ac:dyDescent="0.25">
      <c r="A807" s="193"/>
      <c r="B807" s="61"/>
      <c r="C807" s="61"/>
      <c r="D807" s="61"/>
      <c r="E807" s="61"/>
      <c r="F807" s="61"/>
      <c r="G807" s="61"/>
      <c r="H807" s="61"/>
      <c r="I807" s="61"/>
    </row>
    <row r="808" spans="1:9" ht="15" customHeight="1" x14ac:dyDescent="0.25">
      <c r="A808" s="194"/>
      <c r="B808" s="195"/>
      <c r="C808" s="195"/>
      <c r="D808" s="195"/>
      <c r="E808" s="195"/>
      <c r="F808" s="195"/>
      <c r="G808" s="195"/>
      <c r="H808" s="195"/>
      <c r="I808" s="195"/>
    </row>
    <row r="809" spans="1:9" ht="15" customHeight="1" x14ac:dyDescent="0.25">
      <c r="A809" s="193"/>
      <c r="B809" s="61"/>
      <c r="C809" s="61"/>
      <c r="D809" s="61"/>
      <c r="E809" s="61"/>
      <c r="F809" s="61"/>
      <c r="G809" s="61"/>
      <c r="H809" s="61"/>
      <c r="I809" s="61"/>
    </row>
    <row r="810" spans="1:9" ht="15" customHeight="1" x14ac:dyDescent="0.25">
      <c r="A810" s="194"/>
      <c r="B810" s="195"/>
      <c r="C810" s="195"/>
      <c r="D810" s="195"/>
      <c r="E810" s="195"/>
      <c r="F810" s="195"/>
      <c r="G810" s="195"/>
      <c r="H810" s="195"/>
      <c r="I810" s="195"/>
    </row>
    <row r="811" spans="1:9" ht="15" customHeight="1" x14ac:dyDescent="0.25">
      <c r="A811" s="193"/>
      <c r="B811" s="61"/>
      <c r="C811" s="61"/>
      <c r="D811" s="61"/>
      <c r="E811" s="61"/>
      <c r="F811" s="61"/>
      <c r="G811" s="61"/>
      <c r="H811" s="61"/>
      <c r="I811" s="61"/>
    </row>
    <row r="812" spans="1:9" ht="15" customHeight="1" x14ac:dyDescent="0.25">
      <c r="A812" s="194"/>
      <c r="B812" s="195"/>
      <c r="C812" s="195"/>
      <c r="D812" s="195"/>
      <c r="E812" s="195"/>
      <c r="F812" s="195"/>
      <c r="G812" s="195"/>
      <c r="H812" s="195"/>
      <c r="I812" s="195"/>
    </row>
    <row r="813" spans="1:9" ht="15" customHeight="1" x14ac:dyDescent="0.25">
      <c r="A813" s="193"/>
      <c r="B813" s="61"/>
      <c r="C813" s="61"/>
      <c r="D813" s="61"/>
      <c r="E813" s="61"/>
      <c r="F813" s="61"/>
      <c r="G813" s="61"/>
      <c r="H813" s="61"/>
      <c r="I813" s="61"/>
    </row>
    <row r="814" spans="1:9" ht="15" customHeight="1" x14ac:dyDescent="0.25">
      <c r="A814" s="194"/>
      <c r="B814" s="195"/>
      <c r="C814" s="195"/>
      <c r="D814" s="195"/>
      <c r="E814" s="195"/>
      <c r="F814" s="195"/>
      <c r="G814" s="195"/>
      <c r="H814" s="195"/>
      <c r="I814" s="195"/>
    </row>
    <row r="815" spans="1:9" ht="15" customHeight="1" x14ac:dyDescent="0.25">
      <c r="A815" s="193"/>
      <c r="B815" s="61"/>
      <c r="C815" s="61"/>
      <c r="D815" s="61"/>
      <c r="E815" s="61"/>
      <c r="F815" s="61"/>
      <c r="G815" s="61"/>
      <c r="H815" s="61"/>
      <c r="I815" s="61"/>
    </row>
    <row r="816" spans="1:9" ht="15" customHeight="1" x14ac:dyDescent="0.25">
      <c r="A816" s="194"/>
      <c r="B816" s="195"/>
      <c r="C816" s="195"/>
      <c r="D816" s="195"/>
      <c r="E816" s="195"/>
      <c r="F816" s="195"/>
      <c r="G816" s="195"/>
      <c r="H816" s="195"/>
      <c r="I816" s="195"/>
    </row>
    <row r="817" spans="1:9" ht="15" customHeight="1" x14ac:dyDescent="0.25">
      <c r="A817" s="193"/>
      <c r="B817" s="61"/>
      <c r="C817" s="61"/>
      <c r="D817" s="61"/>
      <c r="E817" s="61"/>
      <c r="F817" s="61"/>
      <c r="G817" s="61"/>
      <c r="H817" s="61"/>
      <c r="I817" s="61"/>
    </row>
    <row r="818" spans="1:9" ht="15" customHeight="1" x14ac:dyDescent="0.25">
      <c r="A818" s="194"/>
      <c r="B818" s="195"/>
      <c r="C818" s="195"/>
      <c r="D818" s="195"/>
      <c r="E818" s="195"/>
      <c r="F818" s="195"/>
      <c r="G818" s="195"/>
      <c r="H818" s="195"/>
      <c r="I818" s="195"/>
    </row>
    <row r="819" spans="1:9" ht="15" customHeight="1" x14ac:dyDescent="0.25">
      <c r="A819" s="193"/>
      <c r="B819" s="61"/>
      <c r="C819" s="61"/>
      <c r="D819" s="61"/>
      <c r="E819" s="61"/>
      <c r="F819" s="61"/>
      <c r="G819" s="61"/>
      <c r="H819" s="61"/>
      <c r="I819" s="61"/>
    </row>
    <row r="820" spans="1:9" ht="15" customHeight="1" x14ac:dyDescent="0.25">
      <c r="A820" s="194"/>
      <c r="B820" s="195"/>
      <c r="C820" s="195"/>
      <c r="D820" s="195"/>
      <c r="E820" s="195"/>
      <c r="F820" s="195"/>
      <c r="G820" s="195"/>
      <c r="H820" s="195"/>
      <c r="I820" s="195"/>
    </row>
    <row r="821" spans="1:9" ht="15" customHeight="1" x14ac:dyDescent="0.25">
      <c r="A821" s="193"/>
      <c r="B821" s="61"/>
      <c r="C821" s="61"/>
      <c r="D821" s="61"/>
      <c r="E821" s="61"/>
      <c r="F821" s="61"/>
      <c r="G821" s="61"/>
      <c r="H821" s="61"/>
      <c r="I821" s="61"/>
    </row>
    <row r="822" spans="1:9" ht="15" customHeight="1" x14ac:dyDescent="0.25">
      <c r="A822" s="194"/>
      <c r="B822" s="195"/>
      <c r="C822" s="195"/>
      <c r="D822" s="195"/>
      <c r="E822" s="195"/>
      <c r="F822" s="195"/>
      <c r="G822" s="195"/>
      <c r="H822" s="195"/>
      <c r="I822" s="195"/>
    </row>
    <row r="823" spans="1:9" ht="15" customHeight="1" x14ac:dyDescent="0.25">
      <c r="A823" s="193"/>
      <c r="B823" s="61"/>
      <c r="C823" s="61"/>
      <c r="D823" s="61"/>
      <c r="E823" s="61"/>
      <c r="F823" s="61"/>
      <c r="G823" s="61"/>
      <c r="H823" s="61"/>
      <c r="I823" s="61"/>
    </row>
    <row r="824" spans="1:9" ht="15" customHeight="1" x14ac:dyDescent="0.25">
      <c r="A824" s="194"/>
      <c r="B824" s="195"/>
      <c r="C824" s="195"/>
      <c r="D824" s="195"/>
      <c r="E824" s="195"/>
      <c r="F824" s="195"/>
      <c r="G824" s="195"/>
      <c r="H824" s="195"/>
      <c r="I824" s="195"/>
    </row>
    <row r="825" spans="1:9" ht="15" customHeight="1" x14ac:dyDescent="0.25">
      <c r="A825" s="193"/>
      <c r="B825" s="61"/>
      <c r="C825" s="61"/>
      <c r="D825" s="61"/>
      <c r="E825" s="61"/>
      <c r="F825" s="61"/>
      <c r="G825" s="61"/>
      <c r="H825" s="61"/>
      <c r="I825" s="61"/>
    </row>
    <row r="826" spans="1:9" ht="15" customHeight="1" x14ac:dyDescent="0.25">
      <c r="A826" s="194"/>
      <c r="B826" s="195"/>
      <c r="C826" s="195"/>
      <c r="D826" s="195"/>
      <c r="E826" s="195"/>
      <c r="F826" s="195"/>
      <c r="G826" s="195"/>
      <c r="H826" s="195"/>
      <c r="I826" s="195"/>
    </row>
    <row r="827" spans="1:9" ht="15" customHeight="1" x14ac:dyDescent="0.25">
      <c r="A827" s="193"/>
      <c r="B827" s="61"/>
      <c r="C827" s="61"/>
      <c r="D827" s="61"/>
      <c r="E827" s="61"/>
      <c r="F827" s="61"/>
      <c r="G827" s="61"/>
      <c r="H827" s="61"/>
      <c r="I827" s="61"/>
    </row>
    <row r="828" spans="1:9" ht="15" customHeight="1" x14ac:dyDescent="0.25">
      <c r="A828" s="194"/>
      <c r="B828" s="195"/>
      <c r="C828" s="195"/>
      <c r="D828" s="195"/>
      <c r="E828" s="195"/>
      <c r="F828" s="195"/>
      <c r="G828" s="195"/>
      <c r="H828" s="195"/>
      <c r="I828" s="195"/>
    </row>
    <row r="829" spans="1:9" ht="15" customHeight="1" x14ac:dyDescent="0.25">
      <c r="A829" s="193"/>
      <c r="B829" s="61"/>
      <c r="C829" s="61"/>
      <c r="D829" s="61"/>
      <c r="E829" s="61"/>
      <c r="F829" s="61"/>
      <c r="G829" s="61"/>
      <c r="H829" s="61"/>
      <c r="I829" s="61"/>
    </row>
    <row r="830" spans="1:9" ht="15" customHeight="1" x14ac:dyDescent="0.25">
      <c r="A830" s="194"/>
      <c r="B830" s="195"/>
      <c r="C830" s="195"/>
      <c r="D830" s="195"/>
      <c r="E830" s="195"/>
      <c r="F830" s="195"/>
      <c r="G830" s="195"/>
      <c r="H830" s="195"/>
      <c r="I830" s="195"/>
    </row>
    <row r="831" spans="1:9" ht="15" customHeight="1" x14ac:dyDescent="0.25">
      <c r="A831" s="193"/>
      <c r="B831" s="61"/>
      <c r="C831" s="61"/>
      <c r="D831" s="61"/>
      <c r="E831" s="61"/>
      <c r="F831" s="61"/>
      <c r="G831" s="61"/>
      <c r="H831" s="61"/>
      <c r="I831" s="61"/>
    </row>
    <row r="832" spans="1:9" ht="15" customHeight="1" x14ac:dyDescent="0.25">
      <c r="A832" s="194"/>
      <c r="B832" s="195"/>
      <c r="C832" s="195"/>
      <c r="D832" s="195"/>
      <c r="E832" s="195"/>
      <c r="F832" s="195"/>
      <c r="G832" s="195"/>
      <c r="H832" s="195"/>
      <c r="I832" s="195"/>
    </row>
    <row r="833" spans="1:9" ht="15" customHeight="1" x14ac:dyDescent="0.25">
      <c r="A833" s="193"/>
      <c r="B833" s="61"/>
      <c r="C833" s="61"/>
      <c r="D833" s="61"/>
      <c r="E833" s="61"/>
      <c r="F833" s="61"/>
      <c r="G833" s="61"/>
      <c r="H833" s="61"/>
      <c r="I833" s="61"/>
    </row>
    <row r="834" spans="1:9" ht="15" customHeight="1" x14ac:dyDescent="0.25">
      <c r="A834" s="194"/>
      <c r="B834" s="195"/>
      <c r="C834" s="195"/>
      <c r="D834" s="195"/>
      <c r="E834" s="195"/>
      <c r="F834" s="195"/>
      <c r="G834" s="195"/>
      <c r="H834" s="195"/>
      <c r="I834" s="195"/>
    </row>
    <row r="835" spans="1:9" ht="15" customHeight="1" x14ac:dyDescent="0.25">
      <c r="A835" s="193"/>
      <c r="B835" s="61"/>
      <c r="C835" s="61"/>
      <c r="D835" s="61"/>
      <c r="E835" s="61"/>
      <c r="F835" s="61"/>
      <c r="G835" s="61"/>
      <c r="H835" s="61"/>
      <c r="I835" s="61"/>
    </row>
    <row r="836" spans="1:9" ht="15" customHeight="1" x14ac:dyDescent="0.25">
      <c r="A836" s="194"/>
      <c r="B836" s="195"/>
      <c r="C836" s="195"/>
      <c r="D836" s="195"/>
      <c r="E836" s="195"/>
      <c r="F836" s="195"/>
      <c r="G836" s="195"/>
      <c r="H836" s="195"/>
      <c r="I836" s="195"/>
    </row>
    <row r="837" spans="1:9" ht="15" customHeight="1" x14ac:dyDescent="0.25">
      <c r="A837" s="193"/>
      <c r="B837" s="61"/>
      <c r="C837" s="61"/>
      <c r="D837" s="61"/>
      <c r="E837" s="61"/>
      <c r="F837" s="61"/>
      <c r="G837" s="61"/>
      <c r="H837" s="61"/>
      <c r="I837" s="61"/>
    </row>
    <row r="838" spans="1:9" ht="15" customHeight="1" x14ac:dyDescent="0.25">
      <c r="A838" s="194"/>
      <c r="B838" s="195"/>
      <c r="C838" s="195"/>
      <c r="D838" s="195"/>
      <c r="E838" s="195"/>
      <c r="F838" s="195"/>
      <c r="G838" s="195"/>
      <c r="H838" s="195"/>
      <c r="I838" s="195"/>
    </row>
    <row r="839" spans="1:9" ht="15" customHeight="1" x14ac:dyDescent="0.25">
      <c r="A839" s="193"/>
      <c r="B839" s="61"/>
      <c r="C839" s="61"/>
      <c r="D839" s="61"/>
      <c r="E839" s="61"/>
      <c r="F839" s="61"/>
      <c r="G839" s="61"/>
      <c r="H839" s="61"/>
      <c r="I839" s="61"/>
    </row>
    <row r="840" spans="1:9" ht="15" customHeight="1" x14ac:dyDescent="0.25">
      <c r="A840" s="194"/>
      <c r="B840" s="195"/>
      <c r="C840" s="195"/>
      <c r="D840" s="195"/>
      <c r="E840" s="195"/>
      <c r="F840" s="195"/>
      <c r="G840" s="195"/>
      <c r="H840" s="195"/>
      <c r="I840" s="195"/>
    </row>
    <row r="841" spans="1:9" ht="15" customHeight="1" x14ac:dyDescent="0.25">
      <c r="A841" s="193"/>
      <c r="B841" s="61"/>
      <c r="C841" s="61"/>
      <c r="D841" s="61"/>
      <c r="E841" s="61"/>
      <c r="F841" s="61"/>
      <c r="G841" s="61"/>
      <c r="H841" s="61"/>
      <c r="I841" s="61"/>
    </row>
    <row r="842" spans="1:9" ht="15" customHeight="1" x14ac:dyDescent="0.25">
      <c r="A842" s="194"/>
      <c r="B842" s="195"/>
      <c r="C842" s="195"/>
      <c r="D842" s="195"/>
      <c r="E842" s="195"/>
      <c r="F842" s="195"/>
      <c r="G842" s="195"/>
      <c r="H842" s="195"/>
      <c r="I842" s="195"/>
    </row>
    <row r="843" spans="1:9" ht="15" customHeight="1" x14ac:dyDescent="0.25">
      <c r="A843" s="193"/>
      <c r="B843" s="61"/>
      <c r="C843" s="61"/>
      <c r="D843" s="61"/>
      <c r="E843" s="61"/>
      <c r="F843" s="61"/>
      <c r="G843" s="61"/>
      <c r="H843" s="61"/>
      <c r="I843" s="61"/>
    </row>
    <row r="844" spans="1:9" ht="15" customHeight="1" x14ac:dyDescent="0.25">
      <c r="A844" s="194"/>
      <c r="B844" s="195"/>
      <c r="C844" s="195"/>
      <c r="D844" s="195"/>
      <c r="E844" s="195"/>
      <c r="F844" s="195"/>
      <c r="G844" s="195"/>
      <c r="H844" s="195"/>
      <c r="I844" s="195"/>
    </row>
    <row r="845" spans="1:9" ht="15" customHeight="1" x14ac:dyDescent="0.25">
      <c r="A845" s="193"/>
      <c r="B845" s="61"/>
      <c r="C845" s="61"/>
      <c r="D845" s="61"/>
      <c r="E845" s="61"/>
      <c r="F845" s="61"/>
      <c r="G845" s="61"/>
      <c r="H845" s="61"/>
      <c r="I845" s="61"/>
    </row>
    <row r="846" spans="1:9" ht="15" customHeight="1" x14ac:dyDescent="0.25">
      <c r="A846" s="194"/>
      <c r="B846" s="195"/>
      <c r="C846" s="195"/>
      <c r="D846" s="195"/>
      <c r="E846" s="195"/>
      <c r="F846" s="195"/>
      <c r="G846" s="195"/>
      <c r="H846" s="195"/>
      <c r="I846" s="195"/>
    </row>
    <row r="847" spans="1:9" ht="15" customHeight="1" x14ac:dyDescent="0.25">
      <c r="A847" s="193"/>
      <c r="B847" s="61"/>
      <c r="C847" s="61"/>
      <c r="D847" s="61"/>
      <c r="E847" s="61"/>
      <c r="F847" s="61"/>
      <c r="G847" s="61"/>
      <c r="H847" s="61"/>
      <c r="I847" s="61"/>
    </row>
    <row r="848" spans="1:9" ht="15" customHeight="1" x14ac:dyDescent="0.25">
      <c r="A848" s="194"/>
      <c r="B848" s="195"/>
      <c r="C848" s="195"/>
      <c r="D848" s="195"/>
      <c r="E848" s="195"/>
      <c r="F848" s="195"/>
      <c r="G848" s="195"/>
      <c r="H848" s="195"/>
      <c r="I848" s="195"/>
    </row>
    <row r="849" spans="1:9" ht="15" customHeight="1" x14ac:dyDescent="0.25">
      <c r="A849" s="193"/>
      <c r="B849" s="61"/>
      <c r="C849" s="61"/>
      <c r="D849" s="61"/>
      <c r="E849" s="61"/>
      <c r="F849" s="61"/>
      <c r="G849" s="61"/>
      <c r="H849" s="61"/>
      <c r="I849" s="61"/>
    </row>
    <row r="850" spans="1:9" ht="15" customHeight="1" x14ac:dyDescent="0.25">
      <c r="A850" s="194"/>
      <c r="B850" s="195"/>
      <c r="C850" s="195"/>
      <c r="D850" s="195"/>
      <c r="E850" s="195"/>
      <c r="F850" s="195"/>
      <c r="G850" s="195"/>
      <c r="H850" s="195"/>
      <c r="I850" s="195"/>
    </row>
    <row r="851" spans="1:9" ht="15" customHeight="1" x14ac:dyDescent="0.25">
      <c r="A851" s="193"/>
      <c r="B851" s="61"/>
      <c r="C851" s="61"/>
      <c r="D851" s="61"/>
      <c r="E851" s="61"/>
      <c r="F851" s="61"/>
      <c r="G851" s="61"/>
      <c r="H851" s="61"/>
      <c r="I851" s="61"/>
    </row>
    <row r="852" spans="1:9" ht="15" customHeight="1" x14ac:dyDescent="0.25">
      <c r="A852" s="194"/>
      <c r="B852" s="195"/>
      <c r="C852" s="195"/>
      <c r="D852" s="195"/>
      <c r="E852" s="195"/>
      <c r="F852" s="195"/>
      <c r="G852" s="195"/>
      <c r="H852" s="195"/>
      <c r="I852" s="195"/>
    </row>
    <row r="853" spans="1:9" ht="15" customHeight="1" x14ac:dyDescent="0.25">
      <c r="A853" s="193"/>
      <c r="B853" s="61"/>
      <c r="C853" s="61"/>
      <c r="D853" s="61"/>
      <c r="E853" s="61"/>
      <c r="F853" s="61"/>
      <c r="G853" s="61"/>
      <c r="H853" s="61"/>
      <c r="I853" s="61"/>
    </row>
    <row r="854" spans="1:9" ht="15" customHeight="1" x14ac:dyDescent="0.25">
      <c r="A854" s="194"/>
      <c r="B854" s="195"/>
      <c r="C854" s="195"/>
      <c r="D854" s="195"/>
      <c r="E854" s="195"/>
      <c r="F854" s="195"/>
      <c r="G854" s="195"/>
      <c r="H854" s="195"/>
      <c r="I854" s="195"/>
    </row>
    <row r="855" spans="1:9" ht="15" customHeight="1" x14ac:dyDescent="0.25">
      <c r="A855" s="193"/>
      <c r="B855" s="61"/>
      <c r="C855" s="61"/>
      <c r="D855" s="61"/>
      <c r="E855" s="61"/>
      <c r="F855" s="61"/>
      <c r="G855" s="61"/>
      <c r="H855" s="61"/>
      <c r="I855" s="61"/>
    </row>
    <row r="856" spans="1:9" ht="15" customHeight="1" x14ac:dyDescent="0.25">
      <c r="A856" s="194"/>
      <c r="B856" s="195"/>
      <c r="C856" s="195"/>
      <c r="D856" s="195"/>
      <c r="E856" s="195"/>
      <c r="F856" s="195"/>
      <c r="G856" s="195"/>
      <c r="H856" s="195"/>
      <c r="I856" s="195"/>
    </row>
    <row r="857" spans="1:9" ht="15" customHeight="1" x14ac:dyDescent="0.25">
      <c r="A857" s="193"/>
      <c r="B857" s="61"/>
      <c r="C857" s="61"/>
      <c r="D857" s="61"/>
      <c r="E857" s="61"/>
      <c r="F857" s="61"/>
      <c r="G857" s="61"/>
      <c r="H857" s="61"/>
      <c r="I857" s="61"/>
    </row>
    <row r="858" spans="1:9" ht="15" customHeight="1" x14ac:dyDescent="0.25">
      <c r="A858" s="194"/>
      <c r="B858" s="195"/>
      <c r="C858" s="195"/>
      <c r="D858" s="195"/>
      <c r="E858" s="195"/>
      <c r="F858" s="195"/>
      <c r="G858" s="195"/>
      <c r="H858" s="195"/>
      <c r="I858" s="195"/>
    </row>
    <row r="859" spans="1:9" ht="15" customHeight="1" x14ac:dyDescent="0.25">
      <c r="A859" s="193"/>
      <c r="B859" s="61"/>
      <c r="C859" s="61"/>
      <c r="D859" s="61"/>
      <c r="E859" s="61"/>
      <c r="F859" s="61"/>
      <c r="G859" s="61"/>
      <c r="H859" s="61"/>
      <c r="I859" s="61"/>
    </row>
    <row r="860" spans="1:9" ht="15" customHeight="1" x14ac:dyDescent="0.25">
      <c r="A860" s="194"/>
      <c r="B860" s="195"/>
      <c r="C860" s="195"/>
      <c r="D860" s="195"/>
      <c r="E860" s="195"/>
      <c r="F860" s="195"/>
      <c r="G860" s="195"/>
      <c r="H860" s="195"/>
      <c r="I860" s="195"/>
    </row>
    <row r="861" spans="1:9" ht="15" customHeight="1" x14ac:dyDescent="0.25">
      <c r="A861" s="193"/>
      <c r="B861" s="61"/>
      <c r="C861" s="61"/>
      <c r="D861" s="61"/>
      <c r="E861" s="61"/>
      <c r="F861" s="61"/>
      <c r="G861" s="61"/>
      <c r="H861" s="61"/>
      <c r="I861" s="61"/>
    </row>
    <row r="862" spans="1:9" ht="15" customHeight="1" x14ac:dyDescent="0.25">
      <c r="A862" s="194"/>
      <c r="B862" s="195"/>
      <c r="C862" s="195"/>
      <c r="D862" s="195"/>
      <c r="E862" s="195"/>
      <c r="F862" s="195"/>
      <c r="G862" s="195"/>
      <c r="H862" s="195"/>
      <c r="I862" s="195"/>
    </row>
    <row r="863" spans="1:9" ht="15" customHeight="1" x14ac:dyDescent="0.25">
      <c r="A863" s="193"/>
      <c r="B863" s="61"/>
      <c r="C863" s="61"/>
      <c r="D863" s="61"/>
      <c r="E863" s="61"/>
      <c r="F863" s="61"/>
      <c r="G863" s="61"/>
      <c r="H863" s="61"/>
      <c r="I863" s="61"/>
    </row>
    <row r="864" spans="1:9" ht="15" customHeight="1" x14ac:dyDescent="0.25">
      <c r="A864" s="194"/>
      <c r="B864" s="195"/>
      <c r="C864" s="195"/>
      <c r="D864" s="195"/>
      <c r="E864" s="195"/>
      <c r="F864" s="195"/>
      <c r="G864" s="195"/>
      <c r="H864" s="195"/>
      <c r="I864" s="195"/>
    </row>
    <row r="865" spans="1:9" ht="15" customHeight="1" x14ac:dyDescent="0.25">
      <c r="A865" s="193"/>
      <c r="B865" s="61"/>
      <c r="C865" s="61"/>
      <c r="D865" s="61"/>
      <c r="E865" s="61"/>
      <c r="F865" s="61"/>
      <c r="G865" s="61"/>
      <c r="H865" s="61"/>
      <c r="I865" s="61"/>
    </row>
    <row r="866" spans="1:9" ht="15" customHeight="1" x14ac:dyDescent="0.25">
      <c r="A866" s="194"/>
      <c r="B866" s="195"/>
      <c r="C866" s="195"/>
      <c r="D866" s="195"/>
      <c r="E866" s="195"/>
      <c r="F866" s="195"/>
      <c r="G866" s="195"/>
      <c r="H866" s="195"/>
      <c r="I866" s="195"/>
    </row>
    <row r="867" spans="1:9" ht="15" customHeight="1" x14ac:dyDescent="0.25">
      <c r="A867" s="193"/>
      <c r="B867" s="61"/>
      <c r="C867" s="61"/>
      <c r="D867" s="61"/>
      <c r="E867" s="61"/>
      <c r="F867" s="61"/>
      <c r="G867" s="61"/>
      <c r="H867" s="61"/>
      <c r="I867" s="61"/>
    </row>
    <row r="868" spans="1:9" ht="15" customHeight="1" x14ac:dyDescent="0.25">
      <c r="A868" s="194"/>
      <c r="B868" s="195"/>
      <c r="C868" s="195"/>
      <c r="D868" s="195"/>
      <c r="E868" s="195"/>
      <c r="F868" s="195"/>
      <c r="G868" s="195"/>
      <c r="H868" s="195"/>
      <c r="I868" s="195"/>
    </row>
    <row r="869" spans="1:9" ht="15" customHeight="1" x14ac:dyDescent="0.25">
      <c r="A869" s="193"/>
      <c r="B869" s="61"/>
      <c r="C869" s="61"/>
      <c r="D869" s="61"/>
      <c r="E869" s="61"/>
      <c r="F869" s="61"/>
      <c r="G869" s="61"/>
      <c r="H869" s="61"/>
      <c r="I869" s="61"/>
    </row>
    <row r="870" spans="1:9" ht="15" customHeight="1" x14ac:dyDescent="0.25">
      <c r="A870" s="194"/>
      <c r="B870" s="195"/>
      <c r="C870" s="195"/>
      <c r="D870" s="195"/>
      <c r="E870" s="195"/>
      <c r="F870" s="195"/>
      <c r="G870" s="195"/>
      <c r="H870" s="195"/>
      <c r="I870" s="195"/>
    </row>
    <row r="871" spans="1:9" ht="15" customHeight="1" x14ac:dyDescent="0.25">
      <c r="A871" s="193"/>
      <c r="B871" s="61"/>
      <c r="C871" s="61"/>
      <c r="D871" s="61"/>
      <c r="E871" s="61"/>
      <c r="F871" s="61"/>
      <c r="G871" s="61"/>
      <c r="H871" s="61"/>
      <c r="I871" s="61"/>
    </row>
    <row r="872" spans="1:9" ht="15" customHeight="1" x14ac:dyDescent="0.25">
      <c r="A872" s="194"/>
      <c r="B872" s="195"/>
      <c r="C872" s="195"/>
      <c r="D872" s="195"/>
      <c r="E872" s="195"/>
      <c r="F872" s="195"/>
      <c r="G872" s="195"/>
      <c r="H872" s="195"/>
      <c r="I872" s="195"/>
    </row>
    <row r="873" spans="1:9" ht="15" customHeight="1" x14ac:dyDescent="0.25">
      <c r="A873" s="193"/>
      <c r="B873" s="61"/>
      <c r="C873" s="61"/>
      <c r="D873" s="61"/>
      <c r="E873" s="61"/>
      <c r="F873" s="61"/>
      <c r="G873" s="61"/>
      <c r="H873" s="61"/>
      <c r="I873" s="61"/>
    </row>
    <row r="874" spans="1:9" ht="15" customHeight="1" x14ac:dyDescent="0.25">
      <c r="A874" s="194"/>
      <c r="B874" s="195"/>
      <c r="C874" s="195"/>
      <c r="D874" s="195"/>
      <c r="E874" s="195"/>
      <c r="F874" s="195"/>
      <c r="G874" s="195"/>
      <c r="H874" s="195"/>
      <c r="I874" s="195"/>
    </row>
    <row r="875" spans="1:9" ht="15" customHeight="1" x14ac:dyDescent="0.25">
      <c r="A875" s="193"/>
      <c r="B875" s="61"/>
      <c r="C875" s="61"/>
      <c r="D875" s="61"/>
      <c r="E875" s="61"/>
      <c r="F875" s="61"/>
      <c r="G875" s="61"/>
      <c r="H875" s="61"/>
      <c r="I875" s="61"/>
    </row>
    <row r="876" spans="1:9" ht="15" customHeight="1" x14ac:dyDescent="0.25">
      <c r="A876" s="194"/>
      <c r="B876" s="195"/>
      <c r="C876" s="195"/>
      <c r="D876" s="195"/>
      <c r="E876" s="195"/>
      <c r="F876" s="195"/>
      <c r="G876" s="195"/>
      <c r="H876" s="195"/>
      <c r="I876" s="195"/>
    </row>
    <row r="877" spans="1:9" ht="15" customHeight="1" x14ac:dyDescent="0.25">
      <c r="A877" s="193"/>
      <c r="B877" s="61"/>
      <c r="C877" s="61"/>
      <c r="D877" s="61"/>
      <c r="E877" s="61"/>
      <c r="F877" s="61"/>
      <c r="G877" s="61"/>
      <c r="H877" s="61"/>
      <c r="I877" s="61"/>
    </row>
    <row r="878" spans="1:9" ht="15" customHeight="1" x14ac:dyDescent="0.25">
      <c r="A878" s="194"/>
      <c r="B878" s="195"/>
      <c r="C878" s="195"/>
      <c r="D878" s="195"/>
      <c r="E878" s="195"/>
      <c r="F878" s="195"/>
      <c r="G878" s="195"/>
      <c r="H878" s="195"/>
      <c r="I878" s="195"/>
    </row>
    <row r="879" spans="1:9" ht="15" customHeight="1" x14ac:dyDescent="0.25">
      <c r="A879" s="193"/>
      <c r="B879" s="61"/>
      <c r="C879" s="61"/>
      <c r="D879" s="61"/>
      <c r="E879" s="61"/>
      <c r="F879" s="61"/>
      <c r="G879" s="61"/>
      <c r="H879" s="61"/>
      <c r="I879" s="61"/>
    </row>
    <row r="880" spans="1:9" ht="15" customHeight="1" x14ac:dyDescent="0.25">
      <c r="A880" s="194"/>
      <c r="B880" s="195"/>
      <c r="C880" s="195"/>
      <c r="D880" s="195"/>
      <c r="E880" s="195"/>
      <c r="F880" s="195"/>
      <c r="G880" s="195"/>
      <c r="H880" s="195"/>
      <c r="I880" s="195"/>
    </row>
    <row r="881" spans="1:9" ht="15" customHeight="1" x14ac:dyDescent="0.25">
      <c r="A881" s="193"/>
      <c r="B881" s="61"/>
      <c r="C881" s="61"/>
      <c r="D881" s="61"/>
      <c r="E881" s="61"/>
      <c r="F881" s="61"/>
      <c r="G881" s="61"/>
      <c r="H881" s="61"/>
      <c r="I881" s="61"/>
    </row>
    <row r="882" spans="1:9" ht="15" customHeight="1" x14ac:dyDescent="0.25">
      <c r="A882" s="194"/>
      <c r="B882" s="195"/>
      <c r="C882" s="195"/>
      <c r="D882" s="195"/>
      <c r="E882" s="195"/>
      <c r="F882" s="195"/>
      <c r="G882" s="195"/>
      <c r="H882" s="195"/>
      <c r="I882" s="195"/>
    </row>
    <row r="883" spans="1:9" ht="15" customHeight="1" x14ac:dyDescent="0.25">
      <c r="A883" s="193"/>
      <c r="B883" s="61"/>
      <c r="C883" s="61"/>
      <c r="D883" s="61"/>
      <c r="E883" s="61"/>
      <c r="F883" s="61"/>
      <c r="G883" s="61"/>
      <c r="H883" s="61"/>
      <c r="I883" s="61"/>
    </row>
    <row r="884" spans="1:9" ht="15" customHeight="1" x14ac:dyDescent="0.25">
      <c r="A884" s="194"/>
      <c r="B884" s="195"/>
      <c r="C884" s="195"/>
      <c r="D884" s="195"/>
      <c r="E884" s="195"/>
      <c r="F884" s="195"/>
      <c r="G884" s="195"/>
      <c r="H884" s="195"/>
      <c r="I884" s="195"/>
    </row>
    <row r="885" spans="1:9" ht="15" customHeight="1" x14ac:dyDescent="0.25">
      <c r="A885" s="193"/>
      <c r="B885" s="61"/>
      <c r="C885" s="61"/>
      <c r="D885" s="61"/>
      <c r="E885" s="61"/>
      <c r="F885" s="61"/>
      <c r="G885" s="61"/>
      <c r="H885" s="61"/>
      <c r="I885" s="61"/>
    </row>
    <row r="886" spans="1:9" ht="15" customHeight="1" x14ac:dyDescent="0.25">
      <c r="A886" s="194"/>
      <c r="B886" s="195"/>
      <c r="C886" s="195"/>
      <c r="D886" s="195"/>
      <c r="E886" s="195"/>
      <c r="F886" s="195"/>
      <c r="G886" s="195"/>
      <c r="H886" s="195"/>
      <c r="I886" s="195"/>
    </row>
    <row r="887" spans="1:9" ht="15" customHeight="1" x14ac:dyDescent="0.25">
      <c r="A887" s="193"/>
      <c r="B887" s="61"/>
      <c r="C887" s="61"/>
      <c r="D887" s="61"/>
      <c r="E887" s="61"/>
      <c r="F887" s="61"/>
      <c r="G887" s="61"/>
      <c r="H887" s="61"/>
      <c r="I887" s="61"/>
    </row>
    <row r="888" spans="1:9" ht="15" customHeight="1" x14ac:dyDescent="0.25">
      <c r="A888" s="194"/>
      <c r="B888" s="195"/>
      <c r="C888" s="195"/>
      <c r="D888" s="195"/>
      <c r="E888" s="195"/>
      <c r="F888" s="195"/>
      <c r="G888" s="195"/>
      <c r="H888" s="195"/>
      <c r="I888" s="195"/>
    </row>
    <row r="889" spans="1:9" ht="15" customHeight="1" x14ac:dyDescent="0.25">
      <c r="A889" s="193"/>
      <c r="B889" s="61"/>
      <c r="C889" s="61"/>
      <c r="D889" s="61"/>
      <c r="E889" s="61"/>
      <c r="F889" s="61"/>
      <c r="G889" s="61"/>
      <c r="H889" s="61"/>
      <c r="I889" s="61"/>
    </row>
    <row r="890" spans="1:9" ht="15" customHeight="1" x14ac:dyDescent="0.25">
      <c r="A890" s="194"/>
      <c r="B890" s="195"/>
      <c r="C890" s="195"/>
      <c r="D890" s="195"/>
      <c r="E890" s="195"/>
      <c r="F890" s="195"/>
      <c r="G890" s="195"/>
      <c r="H890" s="195"/>
      <c r="I890" s="195"/>
    </row>
    <row r="891" spans="1:9" ht="15" customHeight="1" x14ac:dyDescent="0.25">
      <c r="A891" s="193"/>
      <c r="B891" s="61"/>
      <c r="C891" s="61"/>
      <c r="D891" s="61"/>
      <c r="E891" s="61"/>
      <c r="F891" s="61"/>
      <c r="G891" s="61"/>
      <c r="H891" s="61"/>
      <c r="I891" s="61"/>
    </row>
    <row r="892" spans="1:9" ht="15" customHeight="1" x14ac:dyDescent="0.25">
      <c r="A892" s="194"/>
      <c r="B892" s="195"/>
      <c r="C892" s="195"/>
      <c r="D892" s="195"/>
      <c r="E892" s="195"/>
      <c r="F892" s="195"/>
      <c r="G892" s="195"/>
      <c r="H892" s="195"/>
      <c r="I892" s="195"/>
    </row>
    <row r="893" spans="1:9" ht="15" customHeight="1" x14ac:dyDescent="0.25">
      <c r="A893" s="193"/>
      <c r="B893" s="61"/>
      <c r="C893" s="61"/>
      <c r="D893" s="61"/>
      <c r="E893" s="61"/>
      <c r="F893" s="61"/>
      <c r="G893" s="61"/>
      <c r="H893" s="61"/>
      <c r="I893" s="61"/>
    </row>
    <row r="894" spans="1:9" ht="15" customHeight="1" x14ac:dyDescent="0.25">
      <c r="A894" s="194"/>
      <c r="B894" s="195"/>
      <c r="C894" s="195"/>
      <c r="D894" s="195"/>
      <c r="E894" s="195"/>
      <c r="F894" s="195"/>
      <c r="G894" s="195"/>
      <c r="H894" s="195"/>
      <c r="I894" s="195"/>
    </row>
    <row r="895" spans="1:9" ht="15" customHeight="1" x14ac:dyDescent="0.25">
      <c r="A895" s="193"/>
      <c r="B895" s="61"/>
      <c r="C895" s="61"/>
      <c r="D895" s="61"/>
      <c r="E895" s="61"/>
      <c r="F895" s="61"/>
      <c r="G895" s="61"/>
      <c r="H895" s="61"/>
      <c r="I895" s="61"/>
    </row>
    <row r="896" spans="1:9" ht="15" customHeight="1" x14ac:dyDescent="0.25">
      <c r="A896" s="194"/>
      <c r="B896" s="195"/>
      <c r="C896" s="195"/>
      <c r="D896" s="195"/>
      <c r="E896" s="195"/>
      <c r="F896" s="195"/>
      <c r="G896" s="195"/>
      <c r="H896" s="195"/>
      <c r="I896" s="195"/>
    </row>
    <row r="897" spans="1:9" ht="15" customHeight="1" x14ac:dyDescent="0.25">
      <c r="A897" s="193"/>
      <c r="B897" s="61"/>
      <c r="C897" s="61"/>
      <c r="D897" s="61"/>
      <c r="E897" s="61"/>
      <c r="F897" s="61"/>
      <c r="G897" s="61"/>
      <c r="H897" s="61"/>
      <c r="I897" s="61"/>
    </row>
    <row r="898" spans="1:9" ht="15" customHeight="1" x14ac:dyDescent="0.25">
      <c r="A898" s="194"/>
      <c r="B898" s="195"/>
      <c r="C898" s="195"/>
      <c r="D898" s="195"/>
      <c r="E898" s="195"/>
      <c r="F898" s="195"/>
      <c r="G898" s="195"/>
      <c r="H898" s="195"/>
      <c r="I898" s="195"/>
    </row>
    <row r="899" spans="1:9" ht="15" customHeight="1" x14ac:dyDescent="0.25">
      <c r="A899" s="193"/>
      <c r="B899" s="61"/>
      <c r="C899" s="61"/>
      <c r="D899" s="61"/>
      <c r="E899" s="61"/>
      <c r="F899" s="61"/>
      <c r="G899" s="61"/>
      <c r="H899" s="61"/>
      <c r="I899" s="61"/>
    </row>
    <row r="900" spans="1:9" ht="15" customHeight="1" x14ac:dyDescent="0.25">
      <c r="A900" s="194"/>
      <c r="B900" s="195"/>
      <c r="C900" s="195"/>
      <c r="D900" s="195"/>
      <c r="E900" s="195"/>
      <c r="F900" s="195"/>
      <c r="G900" s="195"/>
      <c r="H900" s="195"/>
      <c r="I900" s="195"/>
    </row>
    <row r="901" spans="1:9" ht="15" customHeight="1" x14ac:dyDescent="0.25">
      <c r="A901" s="193"/>
      <c r="B901" s="61"/>
      <c r="C901" s="61"/>
      <c r="D901" s="61"/>
      <c r="E901" s="61"/>
      <c r="F901" s="61"/>
      <c r="G901" s="61"/>
      <c r="H901" s="61"/>
      <c r="I901" s="61"/>
    </row>
    <row r="902" spans="1:9" ht="15" customHeight="1" x14ac:dyDescent="0.25">
      <c r="A902" s="194"/>
      <c r="B902" s="195"/>
      <c r="C902" s="195"/>
      <c r="D902" s="195"/>
      <c r="E902" s="195"/>
      <c r="F902" s="195"/>
      <c r="G902" s="195"/>
      <c r="H902" s="195"/>
      <c r="I902" s="195"/>
    </row>
    <row r="903" spans="1:9" ht="15" customHeight="1" x14ac:dyDescent="0.25">
      <c r="A903" s="193"/>
      <c r="B903" s="61"/>
      <c r="C903" s="61"/>
      <c r="D903" s="61"/>
      <c r="E903" s="61"/>
      <c r="F903" s="61"/>
      <c r="G903" s="61"/>
      <c r="H903" s="61"/>
      <c r="I903" s="61"/>
    </row>
    <row r="904" spans="1:9" ht="15" customHeight="1" x14ac:dyDescent="0.25">
      <c r="A904" s="194"/>
      <c r="B904" s="195"/>
      <c r="C904" s="195"/>
      <c r="D904" s="195"/>
      <c r="E904" s="195"/>
      <c r="F904" s="195"/>
      <c r="G904" s="195"/>
      <c r="H904" s="195"/>
      <c r="I904" s="195"/>
    </row>
    <row r="905" spans="1:9" ht="15" customHeight="1" x14ac:dyDescent="0.25">
      <c r="A905" s="193"/>
      <c r="B905" s="61"/>
      <c r="C905" s="61"/>
      <c r="D905" s="61"/>
      <c r="E905" s="61"/>
      <c r="F905" s="61"/>
      <c r="G905" s="61"/>
      <c r="H905" s="61"/>
      <c r="I905" s="61"/>
    </row>
    <row r="906" spans="1:9" ht="15" customHeight="1" x14ac:dyDescent="0.25">
      <c r="A906" s="194"/>
      <c r="B906" s="195"/>
      <c r="C906" s="195"/>
      <c r="D906" s="195"/>
      <c r="E906" s="195"/>
      <c r="F906" s="195"/>
      <c r="G906" s="195"/>
      <c r="H906" s="195"/>
      <c r="I906" s="195"/>
    </row>
    <row r="907" spans="1:9" ht="15" customHeight="1" x14ac:dyDescent="0.25">
      <c r="A907" s="193"/>
      <c r="B907" s="61"/>
      <c r="C907" s="61"/>
      <c r="D907" s="61"/>
      <c r="E907" s="61"/>
      <c r="F907" s="61"/>
      <c r="G907" s="61"/>
      <c r="H907" s="61"/>
      <c r="I907" s="61"/>
    </row>
    <row r="908" spans="1:9" ht="15" customHeight="1" x14ac:dyDescent="0.25">
      <c r="A908" s="194"/>
      <c r="B908" s="195"/>
      <c r="C908" s="195"/>
      <c r="D908" s="195"/>
      <c r="E908" s="195"/>
      <c r="F908" s="195"/>
      <c r="G908" s="195"/>
      <c r="H908" s="195"/>
      <c r="I908" s="195"/>
    </row>
    <row r="909" spans="1:9" ht="15" customHeight="1" x14ac:dyDescent="0.25">
      <c r="A909" s="193"/>
      <c r="B909" s="61"/>
      <c r="C909" s="61"/>
      <c r="D909" s="61"/>
      <c r="E909" s="61"/>
      <c r="F909" s="61"/>
      <c r="G909" s="61"/>
      <c r="H909" s="61"/>
      <c r="I909" s="61"/>
    </row>
    <row r="910" spans="1:9" ht="15" customHeight="1" x14ac:dyDescent="0.25">
      <c r="A910" s="194"/>
      <c r="B910" s="195"/>
      <c r="C910" s="195"/>
      <c r="D910" s="195"/>
      <c r="E910" s="195"/>
      <c r="F910" s="195"/>
      <c r="G910" s="195"/>
      <c r="H910" s="195"/>
      <c r="I910" s="195"/>
    </row>
    <row r="911" spans="1:9" ht="15" customHeight="1" x14ac:dyDescent="0.25">
      <c r="A911" s="193"/>
      <c r="B911" s="61"/>
      <c r="C911" s="61"/>
      <c r="D911" s="61"/>
      <c r="E911" s="61"/>
      <c r="F911" s="61"/>
      <c r="G911" s="61"/>
      <c r="H911" s="61"/>
      <c r="I911" s="61"/>
    </row>
    <row r="912" spans="1:9" ht="15" customHeight="1" x14ac:dyDescent="0.25">
      <c r="A912" s="194"/>
      <c r="B912" s="195"/>
      <c r="C912" s="195"/>
      <c r="D912" s="195"/>
      <c r="E912" s="195"/>
      <c r="F912" s="195"/>
      <c r="G912" s="195"/>
      <c r="H912" s="195"/>
      <c r="I912" s="195"/>
    </row>
    <row r="913" spans="1:9" ht="15" customHeight="1" x14ac:dyDescent="0.25">
      <c r="A913" s="193"/>
      <c r="B913" s="61"/>
      <c r="C913" s="61"/>
      <c r="D913" s="61"/>
      <c r="E913" s="61"/>
      <c r="F913" s="61"/>
      <c r="G913" s="61"/>
      <c r="H913" s="61"/>
      <c r="I913" s="61"/>
    </row>
    <row r="914" spans="1:9" ht="15" customHeight="1" x14ac:dyDescent="0.25">
      <c r="A914" s="194"/>
      <c r="B914" s="195"/>
      <c r="C914" s="195"/>
      <c r="D914" s="195"/>
      <c r="E914" s="195"/>
      <c r="F914" s="195"/>
      <c r="G914" s="195"/>
      <c r="H914" s="195"/>
      <c r="I914" s="195"/>
    </row>
    <row r="915" spans="1:9" ht="15" customHeight="1" x14ac:dyDescent="0.25">
      <c r="A915" s="193"/>
      <c r="B915" s="61"/>
      <c r="C915" s="61"/>
      <c r="D915" s="61"/>
      <c r="E915" s="61"/>
      <c r="F915" s="61"/>
      <c r="G915" s="61"/>
      <c r="H915" s="61"/>
      <c r="I915" s="61"/>
    </row>
    <row r="916" spans="1:9" ht="15" customHeight="1" x14ac:dyDescent="0.25">
      <c r="A916" s="194"/>
      <c r="B916" s="195"/>
      <c r="C916" s="195"/>
      <c r="D916" s="195"/>
      <c r="E916" s="195"/>
      <c r="F916" s="195"/>
      <c r="G916" s="195"/>
      <c r="H916" s="195"/>
      <c r="I916" s="195"/>
    </row>
    <row r="917" spans="1:9" ht="15" customHeight="1" x14ac:dyDescent="0.25">
      <c r="A917" s="193"/>
      <c r="B917" s="61"/>
      <c r="C917" s="61"/>
      <c r="D917" s="61"/>
      <c r="E917" s="61"/>
      <c r="F917" s="61"/>
      <c r="G917" s="61"/>
      <c r="H917" s="61"/>
      <c r="I917" s="61"/>
    </row>
    <row r="918" spans="1:9" ht="15" customHeight="1" x14ac:dyDescent="0.25">
      <c r="A918" s="194"/>
      <c r="B918" s="195"/>
      <c r="C918" s="195"/>
      <c r="D918" s="195"/>
      <c r="E918" s="195"/>
      <c r="F918" s="195"/>
      <c r="G918" s="195"/>
      <c r="H918" s="195"/>
      <c r="I918" s="195"/>
    </row>
    <row r="919" spans="1:9" ht="15" customHeight="1" x14ac:dyDescent="0.25">
      <c r="A919" s="193"/>
      <c r="B919" s="61"/>
      <c r="C919" s="61"/>
      <c r="D919" s="61"/>
      <c r="E919" s="61"/>
      <c r="F919" s="61"/>
      <c r="G919" s="61"/>
      <c r="H919" s="61"/>
      <c r="I919" s="61"/>
    </row>
    <row r="920" spans="1:9" ht="15" customHeight="1" x14ac:dyDescent="0.25">
      <c r="A920" s="194"/>
      <c r="B920" s="195"/>
      <c r="C920" s="195"/>
      <c r="D920" s="195"/>
      <c r="E920" s="195"/>
      <c r="F920" s="195"/>
      <c r="G920" s="195"/>
      <c r="H920" s="195"/>
      <c r="I920" s="195"/>
    </row>
    <row r="921" spans="1:9" ht="15" customHeight="1" x14ac:dyDescent="0.25">
      <c r="A921" s="193"/>
      <c r="B921" s="61"/>
      <c r="C921" s="61"/>
      <c r="D921" s="61"/>
      <c r="E921" s="61"/>
      <c r="F921" s="61"/>
      <c r="G921" s="61"/>
      <c r="H921" s="61"/>
      <c r="I921" s="61"/>
    </row>
    <row r="922" spans="1:9" ht="15" customHeight="1" x14ac:dyDescent="0.25">
      <c r="A922" s="194"/>
      <c r="B922" s="195"/>
      <c r="C922" s="195"/>
      <c r="D922" s="195"/>
      <c r="E922" s="195"/>
      <c r="F922" s="195"/>
      <c r="G922" s="195"/>
      <c r="H922" s="195"/>
      <c r="I922" s="195"/>
    </row>
    <row r="923" spans="1:9" ht="15" customHeight="1" x14ac:dyDescent="0.25">
      <c r="A923" s="193"/>
      <c r="B923" s="61"/>
      <c r="C923" s="61"/>
      <c r="D923" s="61"/>
      <c r="E923" s="61"/>
      <c r="F923" s="61"/>
      <c r="G923" s="61"/>
      <c r="H923" s="61"/>
      <c r="I923" s="61"/>
    </row>
    <row r="924" spans="1:9" ht="15" customHeight="1" x14ac:dyDescent="0.25">
      <c r="A924" s="194"/>
      <c r="B924" s="195"/>
      <c r="C924" s="195"/>
      <c r="D924" s="195"/>
      <c r="E924" s="195"/>
      <c r="F924" s="195"/>
      <c r="G924" s="195"/>
      <c r="H924" s="195"/>
      <c r="I924" s="195"/>
    </row>
    <row r="925" spans="1:9" ht="15" customHeight="1" x14ac:dyDescent="0.25">
      <c r="A925" s="193"/>
      <c r="B925" s="61"/>
      <c r="C925" s="61"/>
      <c r="D925" s="61"/>
      <c r="E925" s="61"/>
      <c r="F925" s="61"/>
      <c r="G925" s="61"/>
      <c r="H925" s="61"/>
      <c r="I925" s="61"/>
    </row>
    <row r="926" spans="1:9" ht="15" customHeight="1" x14ac:dyDescent="0.25">
      <c r="A926" s="194"/>
      <c r="B926" s="195"/>
      <c r="C926" s="195"/>
      <c r="D926" s="195"/>
      <c r="E926" s="195"/>
      <c r="F926" s="195"/>
      <c r="G926" s="195"/>
      <c r="H926" s="195"/>
      <c r="I926" s="195"/>
    </row>
    <row r="927" spans="1:9" ht="15" customHeight="1" x14ac:dyDescent="0.25">
      <c r="A927" s="193"/>
      <c r="B927" s="61"/>
      <c r="C927" s="61"/>
      <c r="D927" s="61"/>
      <c r="E927" s="61"/>
      <c r="F927" s="61"/>
      <c r="G927" s="61"/>
      <c r="H927" s="61"/>
      <c r="I927" s="61"/>
    </row>
    <row r="928" spans="1:9" ht="15" customHeight="1" x14ac:dyDescent="0.25">
      <c r="A928" s="194"/>
      <c r="B928" s="195"/>
      <c r="C928" s="195"/>
      <c r="D928" s="195"/>
      <c r="E928" s="195"/>
      <c r="F928" s="195"/>
      <c r="G928" s="195"/>
      <c r="H928" s="195"/>
      <c r="I928" s="195"/>
    </row>
    <row r="929" spans="1:9" ht="15" customHeight="1" x14ac:dyDescent="0.25">
      <c r="A929" s="193"/>
      <c r="B929" s="61"/>
      <c r="C929" s="61"/>
      <c r="D929" s="61"/>
      <c r="E929" s="61"/>
      <c r="F929" s="61"/>
      <c r="G929" s="61"/>
      <c r="H929" s="61"/>
      <c r="I929" s="61"/>
    </row>
    <row r="930" spans="1:9" ht="15" customHeight="1" x14ac:dyDescent="0.25">
      <c r="A930" s="194"/>
      <c r="B930" s="195"/>
      <c r="C930" s="195"/>
      <c r="D930" s="195"/>
      <c r="E930" s="195"/>
      <c r="F930" s="195"/>
      <c r="G930" s="195"/>
      <c r="H930" s="195"/>
      <c r="I930" s="195"/>
    </row>
    <row r="931" spans="1:9" ht="15" customHeight="1" x14ac:dyDescent="0.25">
      <c r="A931" s="193"/>
      <c r="B931" s="61"/>
      <c r="C931" s="61"/>
      <c r="D931" s="61"/>
      <c r="E931" s="61"/>
      <c r="F931" s="61"/>
      <c r="G931" s="61"/>
      <c r="H931" s="61"/>
      <c r="I931" s="61"/>
    </row>
    <row r="932" spans="1:9" ht="15" customHeight="1" x14ac:dyDescent="0.25">
      <c r="A932" s="194"/>
      <c r="B932" s="195"/>
      <c r="C932" s="195"/>
      <c r="D932" s="195"/>
      <c r="E932" s="195"/>
      <c r="F932" s="195"/>
      <c r="G932" s="195"/>
      <c r="H932" s="195"/>
      <c r="I932" s="195"/>
    </row>
    <row r="933" spans="1:9" ht="15" customHeight="1" x14ac:dyDescent="0.25">
      <c r="A933" s="193"/>
      <c r="B933" s="61"/>
      <c r="C933" s="61"/>
      <c r="D933" s="61"/>
      <c r="E933" s="61"/>
      <c r="F933" s="61"/>
      <c r="G933" s="61"/>
      <c r="H933" s="61"/>
      <c r="I933" s="61"/>
    </row>
    <row r="934" spans="1:9" ht="15" customHeight="1" x14ac:dyDescent="0.25">
      <c r="A934" s="194"/>
      <c r="B934" s="195"/>
      <c r="C934" s="195"/>
      <c r="D934" s="195"/>
      <c r="E934" s="195"/>
      <c r="F934" s="195"/>
      <c r="G934" s="195"/>
      <c r="H934" s="195"/>
      <c r="I934" s="195"/>
    </row>
    <row r="935" spans="1:9" ht="15" customHeight="1" x14ac:dyDescent="0.25">
      <c r="A935" s="193"/>
      <c r="B935" s="61"/>
      <c r="C935" s="61"/>
      <c r="D935" s="61"/>
      <c r="E935" s="61"/>
      <c r="F935" s="61"/>
      <c r="G935" s="61"/>
      <c r="H935" s="61"/>
      <c r="I935" s="61"/>
    </row>
    <row r="936" spans="1:9" ht="15" customHeight="1" x14ac:dyDescent="0.25">
      <c r="A936" s="194"/>
      <c r="B936" s="195"/>
      <c r="C936" s="195"/>
      <c r="D936" s="195"/>
      <c r="E936" s="195"/>
      <c r="F936" s="195"/>
      <c r="G936" s="195"/>
      <c r="H936" s="195"/>
      <c r="I936" s="195"/>
    </row>
    <row r="937" spans="1:9" ht="15" customHeight="1" x14ac:dyDescent="0.25">
      <c r="A937" s="193"/>
      <c r="B937" s="61"/>
      <c r="C937" s="61"/>
      <c r="D937" s="61"/>
      <c r="E937" s="61"/>
      <c r="F937" s="61"/>
      <c r="G937" s="61"/>
      <c r="H937" s="61"/>
      <c r="I937" s="61"/>
    </row>
    <row r="938" spans="1:9" ht="15" customHeight="1" x14ac:dyDescent="0.25">
      <c r="A938" s="194"/>
      <c r="B938" s="195"/>
      <c r="C938" s="195"/>
      <c r="D938" s="195"/>
      <c r="E938" s="195"/>
      <c r="F938" s="195"/>
      <c r="G938" s="195"/>
      <c r="H938" s="195"/>
      <c r="I938" s="195"/>
    </row>
    <row r="939" spans="1:9" ht="15" customHeight="1" x14ac:dyDescent="0.25">
      <c r="A939" s="193"/>
      <c r="B939" s="61"/>
      <c r="C939" s="61"/>
      <c r="D939" s="61"/>
      <c r="E939" s="61"/>
      <c r="F939" s="61"/>
      <c r="G939" s="61"/>
      <c r="H939" s="61"/>
      <c r="I939" s="61"/>
    </row>
    <row r="940" spans="1:9" ht="15" customHeight="1" x14ac:dyDescent="0.25">
      <c r="A940" s="194"/>
      <c r="B940" s="195"/>
      <c r="C940" s="195"/>
      <c r="D940" s="195"/>
      <c r="E940" s="195"/>
      <c r="F940" s="195"/>
      <c r="G940" s="195"/>
      <c r="H940" s="195"/>
      <c r="I940" s="195"/>
    </row>
    <row r="941" spans="1:9" ht="15" customHeight="1" x14ac:dyDescent="0.25">
      <c r="A941" s="193"/>
      <c r="B941" s="61"/>
      <c r="C941" s="61"/>
      <c r="D941" s="61"/>
      <c r="E941" s="61"/>
      <c r="F941" s="61"/>
      <c r="G941" s="61"/>
      <c r="H941" s="61"/>
      <c r="I941" s="61"/>
    </row>
    <row r="942" spans="1:9" ht="15" customHeight="1" x14ac:dyDescent="0.25">
      <c r="A942" s="194"/>
      <c r="B942" s="195"/>
      <c r="C942" s="195"/>
      <c r="D942" s="195"/>
      <c r="E942" s="195"/>
      <c r="F942" s="195"/>
      <c r="G942" s="195"/>
      <c r="H942" s="195"/>
      <c r="I942" s="195"/>
    </row>
    <row r="943" spans="1:9" ht="15" customHeight="1" x14ac:dyDescent="0.25">
      <c r="A943" s="193"/>
      <c r="B943" s="61"/>
      <c r="C943" s="61"/>
      <c r="D943" s="61"/>
      <c r="E943" s="61"/>
      <c r="F943" s="61"/>
      <c r="G943" s="61"/>
      <c r="H943" s="61"/>
      <c r="I943" s="61"/>
    </row>
    <row r="944" spans="1:9" ht="15" customHeight="1" x14ac:dyDescent="0.25">
      <c r="A944" s="194"/>
      <c r="B944" s="195"/>
      <c r="C944" s="195"/>
      <c r="D944" s="195"/>
      <c r="E944" s="195"/>
      <c r="F944" s="195"/>
      <c r="G944" s="195"/>
      <c r="H944" s="195"/>
      <c r="I944" s="195"/>
    </row>
    <row r="945" spans="1:9" ht="15" customHeight="1" x14ac:dyDescent="0.25">
      <c r="A945" s="193"/>
      <c r="B945" s="61"/>
      <c r="C945" s="61"/>
      <c r="D945" s="61"/>
      <c r="E945" s="61"/>
      <c r="F945" s="61"/>
      <c r="G945" s="61"/>
      <c r="H945" s="61"/>
      <c r="I945" s="61"/>
    </row>
    <row r="946" spans="1:9" ht="15" customHeight="1" x14ac:dyDescent="0.25">
      <c r="A946" s="194"/>
      <c r="B946" s="195"/>
      <c r="C946" s="195"/>
      <c r="D946" s="195"/>
      <c r="E946" s="195"/>
      <c r="F946" s="195"/>
      <c r="G946" s="195"/>
      <c r="H946" s="195"/>
      <c r="I946" s="195"/>
    </row>
    <row r="947" spans="1:9" ht="15" customHeight="1" x14ac:dyDescent="0.25">
      <c r="A947" s="193"/>
      <c r="B947" s="61"/>
      <c r="C947" s="61"/>
      <c r="D947" s="61"/>
      <c r="E947" s="61"/>
      <c r="F947" s="61"/>
      <c r="G947" s="61"/>
      <c r="H947" s="61"/>
      <c r="I947" s="61"/>
    </row>
    <row r="948" spans="1:9" ht="15" customHeight="1" x14ac:dyDescent="0.25">
      <c r="A948" s="194"/>
      <c r="B948" s="195"/>
      <c r="C948" s="195"/>
      <c r="D948" s="195"/>
      <c r="E948" s="195"/>
      <c r="F948" s="195"/>
      <c r="G948" s="195"/>
      <c r="H948" s="195"/>
      <c r="I948" s="195"/>
    </row>
    <row r="949" spans="1:9" ht="15" customHeight="1" x14ac:dyDescent="0.25">
      <c r="A949" s="193"/>
      <c r="B949" s="61"/>
      <c r="C949" s="61"/>
      <c r="D949" s="61"/>
      <c r="E949" s="61"/>
      <c r="F949" s="61"/>
      <c r="G949" s="61"/>
      <c r="H949" s="61"/>
      <c r="I949" s="61"/>
    </row>
    <row r="950" spans="1:9" ht="15" customHeight="1" x14ac:dyDescent="0.25">
      <c r="A950" s="194"/>
      <c r="B950" s="195"/>
      <c r="C950" s="195"/>
      <c r="D950" s="195"/>
      <c r="E950" s="195"/>
      <c r="F950" s="195"/>
      <c r="G950" s="195"/>
      <c r="H950" s="195"/>
      <c r="I950" s="195"/>
    </row>
    <row r="951" spans="1:9" ht="15" customHeight="1" x14ac:dyDescent="0.25">
      <c r="A951" s="193"/>
      <c r="B951" s="61"/>
      <c r="C951" s="61"/>
      <c r="D951" s="61"/>
      <c r="E951" s="61"/>
      <c r="F951" s="61"/>
      <c r="G951" s="61"/>
      <c r="H951" s="61"/>
      <c r="I951" s="61"/>
    </row>
    <row r="952" spans="1:9" ht="15" customHeight="1" x14ac:dyDescent="0.25">
      <c r="A952" s="194"/>
      <c r="B952" s="195"/>
      <c r="C952" s="195"/>
      <c r="D952" s="195"/>
      <c r="E952" s="195"/>
      <c r="F952" s="195"/>
      <c r="G952" s="195"/>
      <c r="H952" s="195"/>
      <c r="I952" s="195"/>
    </row>
    <row r="953" spans="1:9" ht="15" customHeight="1" x14ac:dyDescent="0.25">
      <c r="A953" s="193"/>
      <c r="B953" s="61"/>
      <c r="C953" s="61"/>
      <c r="D953" s="61"/>
      <c r="E953" s="61"/>
      <c r="F953" s="61"/>
      <c r="G953" s="61"/>
      <c r="H953" s="61"/>
      <c r="I953" s="61"/>
    </row>
    <row r="954" spans="1:9" ht="15" customHeight="1" x14ac:dyDescent="0.25">
      <c r="A954" s="194"/>
      <c r="B954" s="195"/>
      <c r="C954" s="195"/>
      <c r="D954" s="195"/>
      <c r="E954" s="195"/>
      <c r="F954" s="195"/>
      <c r="G954" s="195"/>
      <c r="H954" s="195"/>
      <c r="I954" s="195"/>
    </row>
    <row r="955" spans="1:9" ht="15" customHeight="1" x14ac:dyDescent="0.25">
      <c r="A955" s="193"/>
      <c r="B955" s="61"/>
      <c r="C955" s="61"/>
      <c r="D955" s="61"/>
      <c r="E955" s="61"/>
      <c r="F955" s="61"/>
      <c r="G955" s="61"/>
      <c r="H955" s="61"/>
      <c r="I955" s="61"/>
    </row>
    <row r="956" spans="1:9" ht="15" customHeight="1" x14ac:dyDescent="0.25">
      <c r="A956" s="194"/>
      <c r="B956" s="195"/>
      <c r="C956" s="195"/>
      <c r="D956" s="195"/>
      <c r="E956" s="195"/>
      <c r="F956" s="195"/>
      <c r="G956" s="195"/>
      <c r="H956" s="195"/>
      <c r="I956" s="195"/>
    </row>
    <row r="957" spans="1:9" ht="15" customHeight="1" x14ac:dyDescent="0.25">
      <c r="A957" s="193"/>
      <c r="B957" s="61"/>
      <c r="C957" s="61"/>
      <c r="D957" s="61"/>
      <c r="E957" s="61"/>
      <c r="F957" s="61"/>
      <c r="G957" s="61"/>
      <c r="H957" s="61"/>
      <c r="I957" s="61"/>
    </row>
    <row r="958" spans="1:9" ht="15" customHeight="1" x14ac:dyDescent="0.25">
      <c r="A958" s="194"/>
      <c r="B958" s="195"/>
      <c r="C958" s="195"/>
      <c r="D958" s="195"/>
      <c r="E958" s="195"/>
      <c r="F958" s="195"/>
      <c r="G958" s="195"/>
      <c r="H958" s="195"/>
      <c r="I958" s="195"/>
    </row>
    <row r="959" spans="1:9" ht="15" customHeight="1" x14ac:dyDescent="0.25">
      <c r="A959" s="193"/>
      <c r="B959" s="61"/>
      <c r="C959" s="61"/>
      <c r="D959" s="61"/>
      <c r="E959" s="61"/>
      <c r="F959" s="61"/>
      <c r="G959" s="61"/>
      <c r="H959" s="61"/>
      <c r="I959" s="61"/>
    </row>
    <row r="960" spans="1:9" ht="15" customHeight="1" x14ac:dyDescent="0.25">
      <c r="A960" s="194"/>
      <c r="B960" s="195"/>
      <c r="C960" s="195"/>
      <c r="D960" s="195"/>
      <c r="E960" s="195"/>
      <c r="F960" s="195"/>
      <c r="G960" s="195"/>
      <c r="H960" s="195"/>
      <c r="I960" s="195"/>
    </row>
    <row r="961" spans="1:9" ht="15" customHeight="1" x14ac:dyDescent="0.25">
      <c r="A961" s="193"/>
      <c r="B961" s="61"/>
      <c r="C961" s="61"/>
      <c r="D961" s="61"/>
      <c r="E961" s="61"/>
      <c r="F961" s="61"/>
      <c r="G961" s="61"/>
      <c r="H961" s="61"/>
      <c r="I961" s="61"/>
    </row>
    <row r="962" spans="1:9" ht="15" customHeight="1" x14ac:dyDescent="0.25">
      <c r="A962" s="194"/>
      <c r="B962" s="195"/>
      <c r="C962" s="195"/>
      <c r="D962" s="195"/>
      <c r="E962" s="195"/>
      <c r="F962" s="195"/>
      <c r="G962" s="195"/>
      <c r="H962" s="195"/>
      <c r="I962" s="195"/>
    </row>
    <row r="963" spans="1:9" ht="15" customHeight="1" x14ac:dyDescent="0.25">
      <c r="A963" s="193"/>
      <c r="B963" s="61"/>
      <c r="C963" s="61"/>
      <c r="D963" s="61"/>
      <c r="E963" s="61"/>
      <c r="F963" s="61"/>
      <c r="G963" s="61"/>
      <c r="H963" s="61"/>
      <c r="I963" s="61"/>
    </row>
    <row r="964" spans="1:9" ht="15" customHeight="1" x14ac:dyDescent="0.25">
      <c r="A964" s="194"/>
      <c r="B964" s="195"/>
      <c r="C964" s="195"/>
      <c r="D964" s="195"/>
      <c r="E964" s="195"/>
      <c r="F964" s="195"/>
      <c r="G964" s="195"/>
      <c r="H964" s="195"/>
      <c r="I964" s="195"/>
    </row>
    <row r="965" spans="1:9" ht="15" customHeight="1" x14ac:dyDescent="0.25">
      <c r="A965" s="193"/>
      <c r="B965" s="61"/>
      <c r="C965" s="61"/>
      <c r="D965" s="61"/>
      <c r="E965" s="61"/>
      <c r="F965" s="61"/>
      <c r="G965" s="61"/>
      <c r="H965" s="61"/>
      <c r="I965" s="61"/>
    </row>
    <row r="966" spans="1:9" ht="15" customHeight="1" x14ac:dyDescent="0.25">
      <c r="A966" s="194"/>
      <c r="B966" s="195"/>
      <c r="C966" s="195"/>
      <c r="D966" s="195"/>
      <c r="E966" s="195"/>
      <c r="F966" s="195"/>
      <c r="G966" s="195"/>
      <c r="H966" s="195"/>
      <c r="I966" s="195"/>
    </row>
    <row r="967" spans="1:9" ht="15" customHeight="1" x14ac:dyDescent="0.25">
      <c r="A967" s="193"/>
      <c r="B967" s="61"/>
      <c r="C967" s="61"/>
      <c r="D967" s="61"/>
      <c r="E967" s="61"/>
      <c r="F967" s="61"/>
      <c r="G967" s="61"/>
      <c r="H967" s="61"/>
      <c r="I967" s="61"/>
    </row>
    <row r="968" spans="1:9" ht="15" customHeight="1" x14ac:dyDescent="0.25">
      <c r="A968" s="194"/>
      <c r="B968" s="195"/>
      <c r="C968" s="195"/>
      <c r="D968" s="195"/>
      <c r="E968" s="195"/>
      <c r="F968" s="195"/>
      <c r="G968" s="195"/>
      <c r="H968" s="195"/>
      <c r="I968" s="195"/>
    </row>
    <row r="969" spans="1:9" ht="15" customHeight="1" x14ac:dyDescent="0.25">
      <c r="A969" s="193"/>
      <c r="B969" s="61"/>
      <c r="C969" s="61"/>
      <c r="D969" s="61"/>
      <c r="E969" s="61"/>
      <c r="F969" s="61"/>
      <c r="G969" s="61"/>
      <c r="H969" s="61"/>
      <c r="I969" s="61"/>
    </row>
    <row r="970" spans="1:9" ht="15" customHeight="1" x14ac:dyDescent="0.25">
      <c r="A970" s="194"/>
      <c r="B970" s="195"/>
      <c r="C970" s="195"/>
      <c r="D970" s="195"/>
      <c r="E970" s="195"/>
      <c r="F970" s="195"/>
      <c r="G970" s="195"/>
      <c r="H970" s="195"/>
      <c r="I970" s="195"/>
    </row>
    <row r="971" spans="1:9" ht="15" customHeight="1" x14ac:dyDescent="0.25">
      <c r="A971" s="193"/>
      <c r="B971" s="61"/>
      <c r="C971" s="61"/>
      <c r="D971" s="61"/>
      <c r="E971" s="61"/>
      <c r="F971" s="61"/>
      <c r="G971" s="61"/>
      <c r="H971" s="61"/>
      <c r="I971" s="61"/>
    </row>
    <row r="972" spans="1:9" ht="15" customHeight="1" x14ac:dyDescent="0.25">
      <c r="A972" s="194"/>
      <c r="B972" s="195"/>
      <c r="C972" s="195"/>
      <c r="D972" s="195"/>
      <c r="E972" s="195"/>
      <c r="F972" s="195"/>
      <c r="G972" s="195"/>
      <c r="H972" s="195"/>
      <c r="I972" s="195"/>
    </row>
    <row r="973" spans="1:9" ht="15" customHeight="1" x14ac:dyDescent="0.25">
      <c r="A973" s="193"/>
      <c r="B973" s="61"/>
      <c r="C973" s="61"/>
      <c r="D973" s="61"/>
      <c r="E973" s="61"/>
      <c r="F973" s="61"/>
      <c r="G973" s="61"/>
      <c r="H973" s="61"/>
      <c r="I973" s="61"/>
    </row>
    <row r="974" spans="1:9" ht="15" customHeight="1" x14ac:dyDescent="0.25">
      <c r="A974" s="194"/>
      <c r="B974" s="195"/>
      <c r="C974" s="195"/>
      <c r="D974" s="195"/>
      <c r="E974" s="195"/>
      <c r="F974" s="195"/>
      <c r="G974" s="195"/>
      <c r="H974" s="195"/>
      <c r="I974" s="195"/>
    </row>
    <row r="975" spans="1:9" ht="15" customHeight="1" x14ac:dyDescent="0.25">
      <c r="A975" s="193"/>
      <c r="B975" s="61"/>
      <c r="C975" s="61"/>
      <c r="D975" s="61"/>
      <c r="E975" s="61"/>
      <c r="F975" s="61"/>
      <c r="G975" s="61"/>
      <c r="H975" s="61"/>
      <c r="I975" s="61"/>
    </row>
    <row r="976" spans="1:9" ht="15" customHeight="1" x14ac:dyDescent="0.25">
      <c r="A976" s="194"/>
      <c r="B976" s="195"/>
      <c r="C976" s="195"/>
      <c r="D976" s="195"/>
      <c r="E976" s="195"/>
      <c r="F976" s="195"/>
      <c r="G976" s="195"/>
      <c r="H976" s="195"/>
      <c r="I976" s="195"/>
    </row>
    <row r="977" spans="1:9" ht="15" customHeight="1" x14ac:dyDescent="0.25">
      <c r="A977" s="193"/>
      <c r="B977" s="61"/>
      <c r="C977" s="61"/>
      <c r="D977" s="61"/>
      <c r="E977" s="61"/>
      <c r="F977" s="61"/>
      <c r="G977" s="61"/>
      <c r="H977" s="61"/>
      <c r="I977" s="61"/>
    </row>
    <row r="978" spans="1:9" ht="15" customHeight="1" x14ac:dyDescent="0.25">
      <c r="A978" s="194"/>
      <c r="B978" s="195"/>
      <c r="C978" s="195"/>
      <c r="D978" s="195"/>
      <c r="E978" s="195"/>
      <c r="F978" s="195"/>
      <c r="G978" s="195"/>
      <c r="H978" s="195"/>
      <c r="I978" s="195"/>
    </row>
    <row r="979" spans="1:9" ht="15" customHeight="1" x14ac:dyDescent="0.25">
      <c r="A979" s="193"/>
      <c r="B979" s="61"/>
      <c r="C979" s="61"/>
      <c r="D979" s="61"/>
      <c r="E979" s="61"/>
      <c r="F979" s="61"/>
      <c r="G979" s="61"/>
      <c r="H979" s="61"/>
      <c r="I979" s="61"/>
    </row>
    <row r="980" spans="1:9" ht="15" customHeight="1" x14ac:dyDescent="0.25">
      <c r="A980" s="194"/>
      <c r="B980" s="195"/>
      <c r="C980" s="195"/>
      <c r="D980" s="195"/>
      <c r="E980" s="195"/>
      <c r="F980" s="195"/>
      <c r="G980" s="195"/>
      <c r="H980" s="195"/>
      <c r="I980" s="195"/>
    </row>
    <row r="981" spans="1:9" ht="15" customHeight="1" x14ac:dyDescent="0.25">
      <c r="A981" s="193"/>
      <c r="B981" s="61"/>
      <c r="C981" s="61"/>
      <c r="D981" s="61"/>
      <c r="E981" s="61"/>
      <c r="F981" s="61"/>
      <c r="G981" s="61"/>
      <c r="H981" s="61"/>
      <c r="I981" s="61"/>
    </row>
    <row r="982" spans="1:9" ht="15" customHeight="1" x14ac:dyDescent="0.25">
      <c r="A982" s="194"/>
      <c r="B982" s="195"/>
      <c r="C982" s="195"/>
      <c r="D982" s="195"/>
      <c r="E982" s="195"/>
      <c r="F982" s="195"/>
      <c r="G982" s="195"/>
      <c r="H982" s="195"/>
      <c r="I982" s="195"/>
    </row>
    <row r="983" spans="1:9" ht="15" customHeight="1" x14ac:dyDescent="0.25">
      <c r="A983" s="193"/>
      <c r="B983" s="61"/>
      <c r="C983" s="61"/>
      <c r="D983" s="61"/>
      <c r="E983" s="61"/>
      <c r="F983" s="61"/>
      <c r="G983" s="61"/>
      <c r="H983" s="61"/>
      <c r="I983" s="61"/>
    </row>
    <row r="984" spans="1:9" ht="15" customHeight="1" x14ac:dyDescent="0.25">
      <c r="A984" s="194"/>
      <c r="B984" s="195"/>
      <c r="C984" s="195"/>
      <c r="D984" s="195"/>
      <c r="E984" s="195"/>
      <c r="F984" s="195"/>
      <c r="G984" s="195"/>
      <c r="H984" s="195"/>
      <c r="I984" s="195"/>
    </row>
    <row r="985" spans="1:9" ht="15" customHeight="1" x14ac:dyDescent="0.25">
      <c r="A985" s="193"/>
      <c r="B985" s="61"/>
      <c r="C985" s="61"/>
      <c r="D985" s="61"/>
      <c r="E985" s="61"/>
      <c r="F985" s="61"/>
      <c r="G985" s="61"/>
      <c r="H985" s="61"/>
      <c r="I985" s="61"/>
    </row>
    <row r="986" spans="1:9" ht="15" customHeight="1" x14ac:dyDescent="0.25">
      <c r="A986" s="194"/>
      <c r="B986" s="195"/>
      <c r="C986" s="195"/>
      <c r="D986" s="195"/>
      <c r="E986" s="195"/>
      <c r="F986" s="195"/>
      <c r="G986" s="195"/>
      <c r="H986" s="195"/>
      <c r="I986" s="195"/>
    </row>
    <row r="987" spans="1:9" ht="15" customHeight="1" x14ac:dyDescent="0.25">
      <c r="A987" s="193"/>
      <c r="B987" s="61"/>
      <c r="C987" s="61"/>
      <c r="D987" s="61"/>
      <c r="E987" s="61"/>
      <c r="F987" s="61"/>
      <c r="G987" s="61"/>
      <c r="H987" s="61"/>
      <c r="I987" s="61"/>
    </row>
    <row r="988" spans="1:9" ht="15" customHeight="1" x14ac:dyDescent="0.25">
      <c r="A988" s="194"/>
      <c r="B988" s="195"/>
      <c r="C988" s="195"/>
      <c r="D988" s="195"/>
      <c r="E988" s="195"/>
      <c r="F988" s="195"/>
      <c r="G988" s="195"/>
      <c r="H988" s="195"/>
      <c r="I988" s="195"/>
    </row>
    <row r="989" spans="1:9" ht="15" customHeight="1" x14ac:dyDescent="0.25">
      <c r="A989" s="193"/>
      <c r="B989" s="61"/>
      <c r="C989" s="61"/>
      <c r="D989" s="61"/>
      <c r="E989" s="61"/>
      <c r="F989" s="61"/>
      <c r="G989" s="61"/>
      <c r="H989" s="61"/>
      <c r="I989" s="61"/>
    </row>
    <row r="990" spans="1:9" ht="15" customHeight="1" x14ac:dyDescent="0.25">
      <c r="A990" s="194"/>
      <c r="B990" s="195"/>
      <c r="C990" s="195"/>
      <c r="D990" s="195"/>
      <c r="E990" s="195"/>
      <c r="F990" s="195"/>
      <c r="G990" s="195"/>
      <c r="H990" s="195"/>
      <c r="I990" s="195"/>
    </row>
    <row r="991" spans="1:9" ht="15" customHeight="1" x14ac:dyDescent="0.25">
      <c r="A991" s="193"/>
      <c r="B991" s="61"/>
      <c r="C991" s="61"/>
      <c r="D991" s="61"/>
      <c r="E991" s="61"/>
      <c r="F991" s="61"/>
      <c r="G991" s="61"/>
      <c r="H991" s="61"/>
      <c r="I991" s="61"/>
    </row>
    <row r="992" spans="1:9" ht="15" customHeight="1" x14ac:dyDescent="0.25">
      <c r="A992" s="194"/>
      <c r="B992" s="195"/>
      <c r="C992" s="195"/>
      <c r="D992" s="195"/>
      <c r="E992" s="195"/>
      <c r="F992" s="195"/>
      <c r="G992" s="195"/>
      <c r="H992" s="195"/>
      <c r="I992" s="195"/>
    </row>
    <row r="993" spans="1:9" ht="15" customHeight="1" x14ac:dyDescent="0.25">
      <c r="A993" s="193"/>
      <c r="B993" s="61"/>
      <c r="C993" s="61"/>
      <c r="D993" s="61"/>
      <c r="E993" s="61"/>
      <c r="F993" s="61"/>
      <c r="G993" s="61"/>
      <c r="H993" s="61"/>
      <c r="I993" s="61"/>
    </row>
    <row r="994" spans="1:9" ht="15" customHeight="1" x14ac:dyDescent="0.25">
      <c r="A994" s="194"/>
      <c r="B994" s="195"/>
      <c r="C994" s="195"/>
      <c r="D994" s="195"/>
      <c r="E994" s="195"/>
      <c r="F994" s="195"/>
      <c r="G994" s="195"/>
      <c r="H994" s="195"/>
      <c r="I994" s="195"/>
    </row>
    <row r="995" spans="1:9" ht="15" customHeight="1" x14ac:dyDescent="0.25">
      <c r="A995" s="193"/>
      <c r="B995" s="61"/>
      <c r="C995" s="61"/>
      <c r="D995" s="61"/>
      <c r="E995" s="61"/>
      <c r="F995" s="61"/>
      <c r="G995" s="61"/>
      <c r="H995" s="61"/>
      <c r="I995" s="61"/>
    </row>
    <row r="996" spans="1:9" ht="15" customHeight="1" x14ac:dyDescent="0.25">
      <c r="A996" s="194"/>
      <c r="B996" s="195"/>
      <c r="C996" s="195"/>
      <c r="D996" s="195"/>
      <c r="E996" s="195"/>
      <c r="F996" s="195"/>
      <c r="G996" s="195"/>
      <c r="H996" s="195"/>
      <c r="I996" s="195"/>
    </row>
    <row r="997" spans="1:9" ht="15" customHeight="1" x14ac:dyDescent="0.25">
      <c r="A997" s="193"/>
      <c r="B997" s="61"/>
      <c r="C997" s="61"/>
      <c r="D997" s="61"/>
      <c r="E997" s="61"/>
      <c r="F997" s="61"/>
      <c r="G997" s="61"/>
      <c r="H997" s="61"/>
      <c r="I997" s="61"/>
    </row>
    <row r="998" spans="1:9" ht="15" customHeight="1" x14ac:dyDescent="0.25">
      <c r="A998" s="194"/>
      <c r="B998" s="195"/>
      <c r="C998" s="195"/>
      <c r="D998" s="195"/>
      <c r="E998" s="195"/>
      <c r="F998" s="195"/>
      <c r="G998" s="195"/>
      <c r="H998" s="195"/>
      <c r="I998" s="195"/>
    </row>
    <row r="999" spans="1:9" ht="15" customHeight="1" x14ac:dyDescent="0.25">
      <c r="A999" s="193"/>
      <c r="B999" s="61"/>
      <c r="C999" s="61"/>
      <c r="D999" s="61"/>
      <c r="E999" s="61"/>
      <c r="F999" s="61"/>
      <c r="G999" s="61"/>
      <c r="H999" s="61"/>
      <c r="I999" s="61"/>
    </row>
    <row r="1000" spans="1:9" ht="15" customHeight="1" x14ac:dyDescent="0.25">
      <c r="A1000" s="194"/>
      <c r="B1000" s="195"/>
      <c r="C1000" s="195"/>
      <c r="D1000" s="195"/>
      <c r="E1000" s="195"/>
      <c r="F1000" s="195"/>
      <c r="G1000" s="195"/>
      <c r="H1000" s="195"/>
      <c r="I1000" s="195"/>
    </row>
    <row r="1001" spans="1:9" ht="15" customHeight="1" x14ac:dyDescent="0.25">
      <c r="A1001" s="193"/>
      <c r="B1001" s="61"/>
      <c r="C1001" s="61"/>
      <c r="D1001" s="61"/>
      <c r="E1001" s="61"/>
      <c r="F1001" s="61"/>
      <c r="G1001" s="61"/>
      <c r="H1001" s="61"/>
      <c r="I1001" s="61"/>
    </row>
    <row r="1002" spans="1:9" ht="15" customHeight="1" x14ac:dyDescent="0.25">
      <c r="A1002" s="194"/>
      <c r="B1002" s="195"/>
      <c r="C1002" s="195"/>
      <c r="D1002" s="195"/>
      <c r="E1002" s="195"/>
      <c r="F1002" s="195"/>
      <c r="G1002" s="195"/>
      <c r="H1002" s="195"/>
      <c r="I1002" s="195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dataValidations count="1">
    <dataValidation type="list" allowBlank="1" sqref="C3:C1002" xr:uid="{00000000-0002-0000-2600-000000000000}">
      <formula1>"Project,Customer,Supplier,Material,Hardware,Invoice,PO,Staff,Quote,Snag,Price,Other"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48235"/>
    <pageSetUpPr fitToPage="1"/>
  </sheetPr>
  <dimension ref="A1:F34"/>
  <sheetViews>
    <sheetView zoomScaleNormal="100" workbookViewId="0">
      <selection sqref="A1:F1"/>
    </sheetView>
  </sheetViews>
  <sheetFormatPr defaultColWidth="8.7109375" defaultRowHeight="15" x14ac:dyDescent="0.25"/>
  <cols>
    <col min="1" max="1" width="4" customWidth="1"/>
    <col min="2" max="2" width="34" customWidth="1"/>
    <col min="3" max="3" width="10" customWidth="1"/>
    <col min="4" max="4" width="14" customWidth="1"/>
    <col min="5" max="6" width="16" customWidth="1"/>
  </cols>
  <sheetData>
    <row r="1" spans="1:6" ht="30" customHeight="1" x14ac:dyDescent="0.25">
      <c r="A1" s="71" t="s">
        <v>278</v>
      </c>
      <c r="B1" s="71"/>
      <c r="C1" s="71"/>
      <c r="D1" s="71"/>
      <c r="E1" s="71"/>
      <c r="F1" s="71"/>
    </row>
    <row r="2" spans="1:6" ht="19.5" customHeight="1" x14ac:dyDescent="0.3">
      <c r="A2" s="61"/>
      <c r="B2" s="82" t="str">
        <f>Co_Name</f>
        <v>Your Joinery Ltd</v>
      </c>
      <c r="C2" s="61"/>
      <c r="D2" s="61"/>
      <c r="E2" s="72" t="s">
        <v>279</v>
      </c>
      <c r="F2" s="73" t="s">
        <v>280</v>
      </c>
    </row>
    <row r="3" spans="1:6" ht="15" customHeight="1" x14ac:dyDescent="0.25">
      <c r="A3" s="61"/>
      <c r="B3" s="83" t="str">
        <f>Co_Address</f>
        <v>Industrial Zone, Cyprus</v>
      </c>
      <c r="C3" s="61"/>
      <c r="D3" s="61"/>
      <c r="E3" s="72" t="s">
        <v>281</v>
      </c>
      <c r="F3" s="74">
        <v>46133</v>
      </c>
    </row>
    <row r="4" spans="1:6" ht="15" customHeight="1" x14ac:dyDescent="0.25">
      <c r="A4" s="61"/>
      <c r="B4" s="83" t="str">
        <f>Co_Phone&amp;"   |   "&amp;Co_Email</f>
        <v>+357 00 000000   |   info@yourjoinery.com</v>
      </c>
      <c r="C4" s="61"/>
      <c r="D4" s="61"/>
      <c r="E4" s="72" t="s">
        <v>282</v>
      </c>
      <c r="F4" s="85">
        <f>F3+30</f>
        <v>46163</v>
      </c>
    </row>
    <row r="5" spans="1:6" ht="15" customHeight="1" x14ac:dyDescent="0.25">
      <c r="A5" s="61"/>
      <c r="B5" s="84" t="str">
        <f>"VAT No: "&amp;Co_VAT_No</f>
        <v>VAT No: CY00000000X</v>
      </c>
      <c r="C5" s="61"/>
      <c r="D5" s="61"/>
      <c r="E5" s="72" t="s">
        <v>283</v>
      </c>
      <c r="F5" s="86" t="str">
        <f>Cost_Calc!C2</f>
        <v>P-001</v>
      </c>
    </row>
    <row r="6" spans="1:6" x14ac:dyDescent="0.25">
      <c r="A6" s="61"/>
      <c r="B6" s="61"/>
      <c r="C6" s="61"/>
      <c r="D6" s="61"/>
      <c r="E6" s="61"/>
      <c r="F6" s="61"/>
    </row>
    <row r="7" spans="1:6" ht="15" customHeight="1" x14ac:dyDescent="0.25">
      <c r="A7" s="61"/>
      <c r="B7" s="75" t="s">
        <v>284</v>
      </c>
      <c r="C7" s="75"/>
      <c r="D7" s="75"/>
      <c r="E7" s="75"/>
      <c r="F7" s="75"/>
    </row>
    <row r="8" spans="1:6" ht="15" customHeight="1" x14ac:dyDescent="0.25">
      <c r="A8" s="61"/>
      <c r="B8" s="86" t="str">
        <f>IFERROR(VLOOKUP(Cost_Calc!C2,Projects_Table,2,FALSE()),"")</f>
        <v>Anastasiou</v>
      </c>
      <c r="C8" s="61"/>
      <c r="D8" s="61"/>
      <c r="E8" s="61"/>
      <c r="F8" s="61"/>
    </row>
    <row r="9" spans="1:6" ht="15" customHeight="1" x14ac:dyDescent="0.25">
      <c r="A9" s="61"/>
      <c r="B9" s="86" t="str">
        <f>IFERROR("Project: "&amp;VLOOKUP(Cost_Calc!C2,Projects_Table,3,FALSE()),"")</f>
        <v>Project: Villa Kitchen</v>
      </c>
      <c r="C9" s="61"/>
      <c r="D9" s="61"/>
      <c r="E9" s="61"/>
      <c r="F9" s="61"/>
    </row>
    <row r="10" spans="1:6" ht="15" customHeight="1" x14ac:dyDescent="0.25">
      <c r="A10" s="61"/>
      <c r="B10" s="86" t="str">
        <f>IFERROR("Site: "&amp;VLOOKUP(Cost_Calc!C2,Projects_Table,8,FALSE()),"")</f>
        <v>Site: Nicosia</v>
      </c>
      <c r="C10" s="61"/>
      <c r="D10" s="61"/>
      <c r="E10" s="61"/>
      <c r="F10" s="61"/>
    </row>
    <row r="11" spans="1:6" x14ac:dyDescent="0.25">
      <c r="A11" s="61"/>
      <c r="B11" s="61"/>
      <c r="C11" s="61"/>
      <c r="D11" s="61"/>
      <c r="E11" s="61"/>
      <c r="F11" s="61"/>
    </row>
    <row r="12" spans="1:6" ht="24" customHeight="1" x14ac:dyDescent="0.25">
      <c r="A12" s="61"/>
      <c r="B12" s="63" t="s">
        <v>285</v>
      </c>
      <c r="C12" s="63" t="s">
        <v>286</v>
      </c>
      <c r="D12" s="63" t="s">
        <v>287</v>
      </c>
      <c r="E12" s="63" t="s">
        <v>288</v>
      </c>
      <c r="F12" s="63" t="s">
        <v>289</v>
      </c>
    </row>
    <row r="13" spans="1:6" ht="15" customHeight="1" x14ac:dyDescent="0.25">
      <c r="A13" s="61"/>
      <c r="B13" s="87" t="str">
        <f>IFERROR(VLOOKUP(Cost_Calc!C2,Projects_Table,3,FALSE()),"Custom kitchen project")</f>
        <v>Villa Kitchen</v>
      </c>
      <c r="C13" s="88" t="str">
        <f>IFERROR(VLOOKUP(Cost_Calc!C2,Projects_Table,4,FALSE()),"Kitchens")</f>
        <v>Kitchens</v>
      </c>
      <c r="D13" s="78">
        <v>1</v>
      </c>
      <c r="E13" s="89">
        <f>Cost_Net</f>
        <v>6688.0333800000017</v>
      </c>
      <c r="F13" s="90">
        <f>D13*E13</f>
        <v>6688.0333800000017</v>
      </c>
    </row>
    <row r="14" spans="1:6" ht="15" customHeight="1" x14ac:dyDescent="0.25">
      <c r="A14" s="61"/>
      <c r="B14" s="76" t="s">
        <v>290</v>
      </c>
      <c r="C14" s="77" t="s">
        <v>291</v>
      </c>
      <c r="D14" s="78">
        <v>1</v>
      </c>
      <c r="E14" s="79">
        <v>0</v>
      </c>
      <c r="F14" s="90">
        <f>D14*E14</f>
        <v>0</v>
      </c>
    </row>
    <row r="15" spans="1:6" ht="15" customHeight="1" x14ac:dyDescent="0.25">
      <c r="A15" s="61"/>
      <c r="B15" s="76" t="s">
        <v>292</v>
      </c>
      <c r="C15" s="77" t="s">
        <v>249</v>
      </c>
      <c r="D15" s="78">
        <v>0</v>
      </c>
      <c r="E15" s="79">
        <v>0</v>
      </c>
      <c r="F15" s="90">
        <f>D15*E15</f>
        <v>0</v>
      </c>
    </row>
    <row r="16" spans="1:6" ht="15" customHeight="1" x14ac:dyDescent="0.25">
      <c r="A16" s="61"/>
      <c r="B16" s="76"/>
      <c r="C16" s="77"/>
      <c r="D16" s="78">
        <v>0</v>
      </c>
      <c r="E16" s="79">
        <v>0</v>
      </c>
      <c r="F16" s="90">
        <f>D16*E16</f>
        <v>0</v>
      </c>
    </row>
    <row r="17" spans="1:6" ht="15" customHeight="1" x14ac:dyDescent="0.25">
      <c r="A17" s="61"/>
      <c r="B17" s="76"/>
      <c r="C17" s="77"/>
      <c r="D17" s="78">
        <v>0</v>
      </c>
      <c r="E17" s="79">
        <v>0</v>
      </c>
      <c r="F17" s="90">
        <f>D17*E17</f>
        <v>0</v>
      </c>
    </row>
    <row r="18" spans="1:6" x14ac:dyDescent="0.25">
      <c r="A18" s="61"/>
      <c r="B18" s="61"/>
      <c r="C18" s="61"/>
      <c r="D18" s="61"/>
      <c r="E18" s="61"/>
      <c r="F18" s="61"/>
    </row>
    <row r="19" spans="1:6" ht="15" customHeight="1" x14ac:dyDescent="0.25">
      <c r="A19" s="61"/>
      <c r="B19" s="61"/>
      <c r="C19" s="61"/>
      <c r="D19" s="61"/>
      <c r="E19" s="72" t="s">
        <v>293</v>
      </c>
      <c r="F19" s="90">
        <f>SUM(F13:F17)</f>
        <v>6688.0333800000017</v>
      </c>
    </row>
    <row r="20" spans="1:6" ht="15" customHeight="1" x14ac:dyDescent="0.25">
      <c r="A20" s="61"/>
      <c r="B20" s="61"/>
      <c r="C20" s="61"/>
      <c r="D20" s="61"/>
      <c r="E20" s="72" t="s">
        <v>294</v>
      </c>
      <c r="F20" s="79">
        <v>0</v>
      </c>
    </row>
    <row r="21" spans="1:6" ht="15" customHeight="1" x14ac:dyDescent="0.25">
      <c r="A21" s="61"/>
      <c r="B21" s="61"/>
      <c r="C21" s="61"/>
      <c r="D21" s="61"/>
      <c r="E21" s="72" t="s">
        <v>295</v>
      </c>
      <c r="F21" s="90">
        <f>F19-F20</f>
        <v>6688.0333800000017</v>
      </c>
    </row>
    <row r="22" spans="1:6" ht="15" customHeight="1" x14ac:dyDescent="0.25">
      <c r="A22" s="61"/>
      <c r="B22" s="61"/>
      <c r="C22" s="61"/>
      <c r="D22" s="61"/>
      <c r="E22" s="72" t="s">
        <v>296</v>
      </c>
      <c r="F22" s="90">
        <f>F21*VAT_Rate</f>
        <v>1270.7263422000003</v>
      </c>
    </row>
    <row r="23" spans="1:6" ht="27.75" customHeight="1" x14ac:dyDescent="0.25">
      <c r="A23" s="61"/>
      <c r="B23" s="61"/>
      <c r="C23" s="61"/>
      <c r="D23" s="61"/>
      <c r="E23" s="80" t="s">
        <v>297</v>
      </c>
      <c r="F23" s="91">
        <f>F21+F22</f>
        <v>7958.7597222000022</v>
      </c>
    </row>
    <row r="24" spans="1:6" x14ac:dyDescent="0.25">
      <c r="A24" s="61"/>
      <c r="B24" s="61"/>
      <c r="C24" s="61"/>
      <c r="D24" s="61"/>
      <c r="E24" s="61"/>
      <c r="F24" s="61"/>
    </row>
    <row r="25" spans="1:6" ht="15" customHeight="1" x14ac:dyDescent="0.25">
      <c r="A25" s="61"/>
      <c r="B25" s="75" t="s">
        <v>298</v>
      </c>
      <c r="C25" s="75"/>
      <c r="D25" s="75"/>
      <c r="E25" s="75"/>
      <c r="F25" s="75"/>
    </row>
    <row r="26" spans="1:6" ht="15" customHeight="1" x14ac:dyDescent="0.25">
      <c r="A26" s="61"/>
      <c r="B26" s="86" t="str">
        <f>CONCATENATE("Deposit: ",TEXT(Deposit_Pct,"0%")," of grand total — payable on acceptance.")</f>
        <v>Deposit: 40% of grand total — payable on acceptance.</v>
      </c>
      <c r="C26" s="61"/>
      <c r="D26" s="61"/>
      <c r="E26" s="61"/>
      <c r="F26" s="61"/>
    </row>
    <row r="27" spans="1:6" ht="15" customHeight="1" x14ac:dyDescent="0.25">
      <c r="A27" s="61"/>
      <c r="B27" s="86" t="str">
        <f>CONCATENATE("Balance: payable within ",Balance_Due_Days," days after installation.")</f>
        <v>Balance: payable within 30 days after installation.</v>
      </c>
      <c r="C27" s="61"/>
      <c r="D27" s="61"/>
      <c r="E27" s="61"/>
      <c r="F27" s="61"/>
    </row>
    <row r="28" spans="1:6" ht="34.5" customHeight="1" x14ac:dyDescent="0.25">
      <c r="A28" s="61"/>
      <c r="B28" s="81" t="s">
        <v>299</v>
      </c>
      <c r="C28" s="61"/>
      <c r="D28" s="61"/>
      <c r="E28" s="61"/>
      <c r="F28" s="61"/>
    </row>
    <row r="29" spans="1:6" x14ac:dyDescent="0.25">
      <c r="A29" s="61"/>
      <c r="B29" s="61"/>
      <c r="C29" s="61"/>
      <c r="D29" s="61"/>
      <c r="E29" s="61"/>
      <c r="F29" s="61"/>
    </row>
    <row r="30" spans="1:6" ht="15" customHeight="1" x14ac:dyDescent="0.25">
      <c r="A30" s="61"/>
      <c r="B30" s="72" t="s">
        <v>300</v>
      </c>
      <c r="C30" s="61"/>
      <c r="D30" s="61"/>
      <c r="E30" s="72" t="s">
        <v>301</v>
      </c>
      <c r="F30" s="61"/>
    </row>
    <row r="31" spans="1:6" x14ac:dyDescent="0.25">
      <c r="A31" s="61"/>
      <c r="B31" s="61"/>
      <c r="C31" s="61"/>
      <c r="D31" s="61"/>
      <c r="E31" s="61"/>
      <c r="F31" s="61"/>
    </row>
    <row r="32" spans="1:6" x14ac:dyDescent="0.25">
      <c r="A32" s="61"/>
      <c r="B32" s="61"/>
      <c r="C32" s="61"/>
      <c r="D32" s="61"/>
      <c r="E32" s="61"/>
      <c r="F32" s="61"/>
    </row>
    <row r="33" spans="1:6" x14ac:dyDescent="0.25">
      <c r="A33" s="61"/>
      <c r="B33" s="61"/>
      <c r="C33" s="61"/>
      <c r="D33" s="61"/>
      <c r="E33" s="61"/>
      <c r="F33" s="61"/>
    </row>
    <row r="34" spans="1:6" ht="15" customHeight="1" x14ac:dyDescent="0.25">
      <c r="A34" s="61"/>
      <c r="B34" s="61" t="s">
        <v>302</v>
      </c>
      <c r="C34" s="61"/>
      <c r="D34" s="61"/>
      <c r="E34" s="61" t="s">
        <v>302</v>
      </c>
      <c r="F34" s="61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3">
    <mergeCell ref="A1:F1"/>
    <mergeCell ref="B7:F7"/>
    <mergeCell ref="B25:F25"/>
  </mergeCells>
  <printOptions horizontalCentered="1"/>
  <pageMargins left="0.4" right="0.4" top="0.5" bottom="0.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48235"/>
  </sheetPr>
  <dimension ref="A1:J102"/>
  <sheetViews>
    <sheetView zoomScaleNormal="100" workbookViewId="0">
      <pane ySplit="2" topLeftCell="A3" activePane="bottomLeft" state="frozen"/>
      <selection pane="bottomLeft" sqref="A1:J1"/>
    </sheetView>
  </sheetViews>
  <sheetFormatPr defaultColWidth="8.7109375" defaultRowHeight="15" x14ac:dyDescent="0.25"/>
  <cols>
    <col min="1" max="1" width="14" customWidth="1"/>
    <col min="2" max="2" width="12" customWidth="1"/>
    <col min="3" max="3" width="22" customWidth="1"/>
    <col min="4" max="4" width="12" customWidth="1"/>
    <col min="5" max="5" width="14" customWidth="1"/>
    <col min="6" max="6" width="16" customWidth="1"/>
    <col min="7" max="9" width="14" customWidth="1"/>
    <col min="10" max="10" width="20" customWidth="1"/>
  </cols>
  <sheetData>
    <row r="1" spans="1:10" ht="30" customHeight="1" x14ac:dyDescent="0.25">
      <c r="A1" s="71" t="s">
        <v>303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7.75" customHeight="1" x14ac:dyDescent="0.25">
      <c r="A2" s="63" t="s">
        <v>304</v>
      </c>
      <c r="B2" s="63" t="s">
        <v>20</v>
      </c>
      <c r="C2" s="63" t="s">
        <v>19</v>
      </c>
      <c r="D2" s="63" t="s">
        <v>305</v>
      </c>
      <c r="E2" s="63" t="s">
        <v>306</v>
      </c>
      <c r="F2" s="63" t="s">
        <v>307</v>
      </c>
      <c r="G2" s="63" t="s">
        <v>308</v>
      </c>
      <c r="H2" s="63" t="s">
        <v>309</v>
      </c>
      <c r="I2" s="63" t="s">
        <v>310</v>
      </c>
      <c r="J2" s="63" t="s">
        <v>311</v>
      </c>
    </row>
    <row r="3" spans="1:10" ht="26.25" customHeight="1" x14ac:dyDescent="0.25">
      <c r="A3" s="92" t="s">
        <v>280</v>
      </c>
      <c r="B3" s="93" t="s">
        <v>312</v>
      </c>
      <c r="C3" s="97" t="str">
        <f t="shared" ref="C3:C34" si="0">IFERROR(VLOOKUP(B3,Projects_Table,2,FALSE()),"")</f>
        <v>Anastasiou</v>
      </c>
      <c r="D3" s="94">
        <v>46082</v>
      </c>
      <c r="E3" s="95">
        <f t="shared" ref="E3:E34" si="1">IFERROR(VLOOKUP(B3,Projects_Table,13,FALSE()),0)</f>
        <v>18500</v>
      </c>
      <c r="F3" s="96">
        <f t="shared" ref="F3:F34" ca="1" si="2">IFERROR(TODAY()-D3,"")</f>
        <v>129</v>
      </c>
      <c r="G3" s="94">
        <v>46082</v>
      </c>
      <c r="H3" s="98">
        <f t="shared" ref="H3:H34" si="3">IFERROR(G3+7,"")</f>
        <v>46089</v>
      </c>
      <c r="I3" s="93" t="s">
        <v>313</v>
      </c>
      <c r="J3" s="93" t="s">
        <v>314</v>
      </c>
    </row>
    <row r="4" spans="1:10" ht="26.25" customHeight="1" x14ac:dyDescent="0.25">
      <c r="A4" s="92" t="s">
        <v>315</v>
      </c>
      <c r="B4" s="93" t="s">
        <v>316</v>
      </c>
      <c r="C4" s="97" t="str">
        <f t="shared" si="0"/>
        <v>Savvas</v>
      </c>
      <c r="D4" s="94">
        <v>46101</v>
      </c>
      <c r="E4" s="95">
        <f t="shared" si="1"/>
        <v>6800</v>
      </c>
      <c r="F4" s="96">
        <f t="shared" ca="1" si="2"/>
        <v>110</v>
      </c>
      <c r="G4" s="94">
        <v>46101</v>
      </c>
      <c r="H4" s="98">
        <f t="shared" si="3"/>
        <v>46108</v>
      </c>
      <c r="I4" s="93" t="s">
        <v>317</v>
      </c>
      <c r="J4" s="93" t="s">
        <v>314</v>
      </c>
    </row>
    <row r="5" spans="1:10" ht="26.25" customHeight="1" x14ac:dyDescent="0.25">
      <c r="A5" s="92" t="s">
        <v>318</v>
      </c>
      <c r="B5" s="93" t="s">
        <v>319</v>
      </c>
      <c r="C5" s="97" t="str">
        <f t="shared" si="0"/>
        <v>Pastelis</v>
      </c>
      <c r="D5" s="94">
        <v>46117</v>
      </c>
      <c r="E5" s="95">
        <f t="shared" si="1"/>
        <v>4500</v>
      </c>
      <c r="F5" s="96">
        <f t="shared" ca="1" si="2"/>
        <v>94</v>
      </c>
      <c r="G5" s="94">
        <v>46117</v>
      </c>
      <c r="H5" s="98">
        <f t="shared" si="3"/>
        <v>46124</v>
      </c>
      <c r="I5" s="93" t="s">
        <v>317</v>
      </c>
      <c r="J5" s="93" t="s">
        <v>320</v>
      </c>
    </row>
    <row r="6" spans="1:10" ht="26.25" customHeight="1" x14ac:dyDescent="0.25">
      <c r="A6" s="92" t="s">
        <v>321</v>
      </c>
      <c r="B6" s="93" t="s">
        <v>322</v>
      </c>
      <c r="C6" s="97" t="str">
        <f t="shared" si="0"/>
        <v>George Petrou</v>
      </c>
      <c r="D6" s="94">
        <v>46106</v>
      </c>
      <c r="E6" s="95">
        <f t="shared" si="1"/>
        <v>9200</v>
      </c>
      <c r="F6" s="96">
        <f t="shared" ca="1" si="2"/>
        <v>105</v>
      </c>
      <c r="G6" s="94">
        <v>46106</v>
      </c>
      <c r="H6" s="98">
        <f t="shared" si="3"/>
        <v>46113</v>
      </c>
      <c r="I6" s="93" t="s">
        <v>313</v>
      </c>
      <c r="J6" s="93" t="s">
        <v>314</v>
      </c>
    </row>
    <row r="7" spans="1:10" ht="26.25" customHeight="1" x14ac:dyDescent="0.25">
      <c r="A7" s="92" t="s">
        <v>323</v>
      </c>
      <c r="B7" s="93" t="s">
        <v>324</v>
      </c>
      <c r="C7" s="97" t="str">
        <f t="shared" si="0"/>
        <v>Angelis</v>
      </c>
      <c r="D7" s="94">
        <v>46109</v>
      </c>
      <c r="E7" s="95">
        <f t="shared" si="1"/>
        <v>11400</v>
      </c>
      <c r="F7" s="96">
        <f t="shared" ca="1" si="2"/>
        <v>102</v>
      </c>
      <c r="G7" s="94">
        <v>46109</v>
      </c>
      <c r="H7" s="98">
        <f t="shared" si="3"/>
        <v>46116</v>
      </c>
      <c r="I7" s="93" t="s">
        <v>317</v>
      </c>
      <c r="J7" s="93" t="s">
        <v>320</v>
      </c>
    </row>
    <row r="8" spans="1:10" ht="26.25" customHeight="1" x14ac:dyDescent="0.25">
      <c r="A8" s="92" t="s">
        <v>325</v>
      </c>
      <c r="B8" s="93" t="s">
        <v>326</v>
      </c>
      <c r="C8" s="97" t="str">
        <f t="shared" si="0"/>
        <v>Hadjipanayi</v>
      </c>
      <c r="D8" s="94">
        <v>46114</v>
      </c>
      <c r="E8" s="95">
        <f t="shared" si="1"/>
        <v>16800</v>
      </c>
      <c r="F8" s="96">
        <f t="shared" ca="1" si="2"/>
        <v>97</v>
      </c>
      <c r="G8" s="94">
        <v>46114</v>
      </c>
      <c r="H8" s="98">
        <f t="shared" si="3"/>
        <v>46121</v>
      </c>
      <c r="I8" s="93" t="s">
        <v>317</v>
      </c>
      <c r="J8" s="93" t="s">
        <v>314</v>
      </c>
    </row>
    <row r="9" spans="1:10" ht="26.25" customHeight="1" x14ac:dyDescent="0.25">
      <c r="A9" s="92" t="s">
        <v>327</v>
      </c>
      <c r="B9" s="93" t="s">
        <v>328</v>
      </c>
      <c r="C9" s="97" t="str">
        <f t="shared" si="0"/>
        <v>Sergei</v>
      </c>
      <c r="D9" s="94">
        <v>46122</v>
      </c>
      <c r="E9" s="95">
        <f t="shared" si="1"/>
        <v>28500</v>
      </c>
      <c r="F9" s="96">
        <f t="shared" ca="1" si="2"/>
        <v>89</v>
      </c>
      <c r="G9" s="94">
        <v>46122</v>
      </c>
      <c r="H9" s="98">
        <f t="shared" si="3"/>
        <v>46129</v>
      </c>
      <c r="I9" s="93" t="s">
        <v>317</v>
      </c>
      <c r="J9" s="93" t="s">
        <v>320</v>
      </c>
    </row>
    <row r="10" spans="1:10" ht="26.25" customHeight="1" x14ac:dyDescent="0.25">
      <c r="A10" s="92" t="s">
        <v>329</v>
      </c>
      <c r="B10" s="93" t="s">
        <v>330</v>
      </c>
      <c r="C10" s="97" t="str">
        <f t="shared" si="0"/>
        <v>Nikoletta</v>
      </c>
      <c r="D10" s="94">
        <v>46068</v>
      </c>
      <c r="E10" s="95">
        <f t="shared" si="1"/>
        <v>5600</v>
      </c>
      <c r="F10" s="96">
        <f t="shared" ca="1" si="2"/>
        <v>143</v>
      </c>
      <c r="G10" s="94">
        <v>46068</v>
      </c>
      <c r="H10" s="98">
        <f t="shared" si="3"/>
        <v>46075</v>
      </c>
      <c r="I10" s="93" t="s">
        <v>317</v>
      </c>
      <c r="J10" s="93" t="s">
        <v>331</v>
      </c>
    </row>
    <row r="11" spans="1:10" ht="15" customHeight="1" x14ac:dyDescent="0.25">
      <c r="A11" s="77"/>
      <c r="B11" s="77"/>
      <c r="C11" s="97" t="str">
        <f t="shared" si="0"/>
        <v/>
      </c>
      <c r="D11" s="77"/>
      <c r="E11" s="95">
        <f t="shared" si="1"/>
        <v>0</v>
      </c>
      <c r="F11" s="96">
        <f t="shared" ca="1" si="2"/>
        <v>46211</v>
      </c>
      <c r="G11" s="77"/>
      <c r="H11" s="98">
        <f t="shared" si="3"/>
        <v>7</v>
      </c>
      <c r="I11" s="77"/>
      <c r="J11" s="77"/>
    </row>
    <row r="12" spans="1:10" ht="15" customHeight="1" x14ac:dyDescent="0.25">
      <c r="A12" s="77"/>
      <c r="B12" s="77"/>
      <c r="C12" s="97" t="str">
        <f t="shared" si="0"/>
        <v/>
      </c>
      <c r="D12" s="77"/>
      <c r="E12" s="95">
        <f t="shared" si="1"/>
        <v>0</v>
      </c>
      <c r="F12" s="96">
        <f t="shared" ca="1" si="2"/>
        <v>46211</v>
      </c>
      <c r="G12" s="77"/>
      <c r="H12" s="98">
        <f t="shared" si="3"/>
        <v>7</v>
      </c>
      <c r="I12" s="77"/>
      <c r="J12" s="77"/>
    </row>
    <row r="13" spans="1:10" ht="15" customHeight="1" x14ac:dyDescent="0.25">
      <c r="A13" s="77"/>
      <c r="B13" s="77"/>
      <c r="C13" s="97" t="str">
        <f t="shared" si="0"/>
        <v/>
      </c>
      <c r="D13" s="77"/>
      <c r="E13" s="95">
        <f t="shared" si="1"/>
        <v>0</v>
      </c>
      <c r="F13" s="96">
        <f t="shared" ca="1" si="2"/>
        <v>46211</v>
      </c>
      <c r="G13" s="77"/>
      <c r="H13" s="98">
        <f t="shared" si="3"/>
        <v>7</v>
      </c>
      <c r="I13" s="77"/>
      <c r="J13" s="77"/>
    </row>
    <row r="14" spans="1:10" ht="15" customHeight="1" x14ac:dyDescent="0.25">
      <c r="A14" s="77"/>
      <c r="B14" s="77"/>
      <c r="C14" s="97" t="str">
        <f t="shared" si="0"/>
        <v/>
      </c>
      <c r="D14" s="77"/>
      <c r="E14" s="95">
        <f t="shared" si="1"/>
        <v>0</v>
      </c>
      <c r="F14" s="96">
        <f t="shared" ca="1" si="2"/>
        <v>46211</v>
      </c>
      <c r="G14" s="77"/>
      <c r="H14" s="98">
        <f t="shared" si="3"/>
        <v>7</v>
      </c>
      <c r="I14" s="77"/>
      <c r="J14" s="77"/>
    </row>
    <row r="15" spans="1:10" ht="15" customHeight="1" x14ac:dyDescent="0.25">
      <c r="A15" s="77"/>
      <c r="B15" s="77"/>
      <c r="C15" s="97" t="str">
        <f t="shared" si="0"/>
        <v/>
      </c>
      <c r="D15" s="77"/>
      <c r="E15" s="95">
        <f t="shared" si="1"/>
        <v>0</v>
      </c>
      <c r="F15" s="96">
        <f t="shared" ca="1" si="2"/>
        <v>46211</v>
      </c>
      <c r="G15" s="77"/>
      <c r="H15" s="98">
        <f t="shared" si="3"/>
        <v>7</v>
      </c>
      <c r="I15" s="77"/>
      <c r="J15" s="77"/>
    </row>
    <row r="16" spans="1:10" ht="15" customHeight="1" x14ac:dyDescent="0.25">
      <c r="A16" s="77"/>
      <c r="B16" s="77"/>
      <c r="C16" s="97" t="str">
        <f t="shared" si="0"/>
        <v/>
      </c>
      <c r="D16" s="77"/>
      <c r="E16" s="95">
        <f t="shared" si="1"/>
        <v>0</v>
      </c>
      <c r="F16" s="96">
        <f t="shared" ca="1" si="2"/>
        <v>46211</v>
      </c>
      <c r="G16" s="77"/>
      <c r="H16" s="98">
        <f t="shared" si="3"/>
        <v>7</v>
      </c>
      <c r="I16" s="77"/>
      <c r="J16" s="77"/>
    </row>
    <row r="17" spans="1:10" ht="15" customHeight="1" x14ac:dyDescent="0.25">
      <c r="A17" s="77"/>
      <c r="B17" s="77"/>
      <c r="C17" s="97" t="str">
        <f t="shared" si="0"/>
        <v/>
      </c>
      <c r="D17" s="77"/>
      <c r="E17" s="95">
        <f t="shared" si="1"/>
        <v>0</v>
      </c>
      <c r="F17" s="96">
        <f t="shared" ca="1" si="2"/>
        <v>46211</v>
      </c>
      <c r="G17" s="77"/>
      <c r="H17" s="98">
        <f t="shared" si="3"/>
        <v>7</v>
      </c>
      <c r="I17" s="77"/>
      <c r="J17" s="77"/>
    </row>
    <row r="18" spans="1:10" ht="15" customHeight="1" x14ac:dyDescent="0.25">
      <c r="A18" s="77"/>
      <c r="B18" s="77"/>
      <c r="C18" s="97" t="str">
        <f t="shared" si="0"/>
        <v/>
      </c>
      <c r="D18" s="77"/>
      <c r="E18" s="95">
        <f t="shared" si="1"/>
        <v>0</v>
      </c>
      <c r="F18" s="96">
        <f t="shared" ca="1" si="2"/>
        <v>46211</v>
      </c>
      <c r="G18" s="77"/>
      <c r="H18" s="98">
        <f t="shared" si="3"/>
        <v>7</v>
      </c>
      <c r="I18" s="77"/>
      <c r="J18" s="77"/>
    </row>
    <row r="19" spans="1:10" ht="15" customHeight="1" x14ac:dyDescent="0.25">
      <c r="A19" s="77"/>
      <c r="B19" s="77"/>
      <c r="C19" s="97" t="str">
        <f t="shared" si="0"/>
        <v/>
      </c>
      <c r="D19" s="77"/>
      <c r="E19" s="95">
        <f t="shared" si="1"/>
        <v>0</v>
      </c>
      <c r="F19" s="96">
        <f t="shared" ca="1" si="2"/>
        <v>46211</v>
      </c>
      <c r="G19" s="77"/>
      <c r="H19" s="98">
        <f t="shared" si="3"/>
        <v>7</v>
      </c>
      <c r="I19" s="77"/>
      <c r="J19" s="77"/>
    </row>
    <row r="20" spans="1:10" ht="15" customHeight="1" x14ac:dyDescent="0.25">
      <c r="A20" s="77"/>
      <c r="B20" s="77"/>
      <c r="C20" s="97" t="str">
        <f t="shared" si="0"/>
        <v/>
      </c>
      <c r="D20" s="77"/>
      <c r="E20" s="95">
        <f t="shared" si="1"/>
        <v>0</v>
      </c>
      <c r="F20" s="96">
        <f t="shared" ca="1" si="2"/>
        <v>46211</v>
      </c>
      <c r="G20" s="77"/>
      <c r="H20" s="98">
        <f t="shared" si="3"/>
        <v>7</v>
      </c>
      <c r="I20" s="77"/>
      <c r="J20" s="77"/>
    </row>
    <row r="21" spans="1:10" ht="15" customHeight="1" x14ac:dyDescent="0.25">
      <c r="A21" s="77"/>
      <c r="B21" s="77"/>
      <c r="C21" s="97" t="str">
        <f t="shared" si="0"/>
        <v/>
      </c>
      <c r="D21" s="77"/>
      <c r="E21" s="95">
        <f t="shared" si="1"/>
        <v>0</v>
      </c>
      <c r="F21" s="96">
        <f t="shared" ca="1" si="2"/>
        <v>46211</v>
      </c>
      <c r="G21" s="77"/>
      <c r="H21" s="98">
        <f t="shared" si="3"/>
        <v>7</v>
      </c>
      <c r="I21" s="77"/>
      <c r="J21" s="77"/>
    </row>
    <row r="22" spans="1:10" ht="15" customHeight="1" x14ac:dyDescent="0.25">
      <c r="A22" s="77"/>
      <c r="B22" s="77"/>
      <c r="C22" s="97" t="str">
        <f t="shared" si="0"/>
        <v/>
      </c>
      <c r="D22" s="77"/>
      <c r="E22" s="95">
        <f t="shared" si="1"/>
        <v>0</v>
      </c>
      <c r="F22" s="96">
        <f t="shared" ca="1" si="2"/>
        <v>46211</v>
      </c>
      <c r="G22" s="77"/>
      <c r="H22" s="98">
        <f t="shared" si="3"/>
        <v>7</v>
      </c>
      <c r="I22" s="77"/>
      <c r="J22" s="77"/>
    </row>
    <row r="23" spans="1:10" ht="15" customHeight="1" x14ac:dyDescent="0.25">
      <c r="A23" s="77"/>
      <c r="B23" s="77"/>
      <c r="C23" s="97" t="str">
        <f t="shared" si="0"/>
        <v/>
      </c>
      <c r="D23" s="77"/>
      <c r="E23" s="95">
        <f t="shared" si="1"/>
        <v>0</v>
      </c>
      <c r="F23" s="96">
        <f t="shared" ca="1" si="2"/>
        <v>46211</v>
      </c>
      <c r="G23" s="77"/>
      <c r="H23" s="98">
        <f t="shared" si="3"/>
        <v>7</v>
      </c>
      <c r="I23" s="77"/>
      <c r="J23" s="77"/>
    </row>
    <row r="24" spans="1:10" ht="15" customHeight="1" x14ac:dyDescent="0.25">
      <c r="A24" s="77"/>
      <c r="B24" s="77"/>
      <c r="C24" s="97" t="str">
        <f t="shared" si="0"/>
        <v/>
      </c>
      <c r="D24" s="77"/>
      <c r="E24" s="95">
        <f t="shared" si="1"/>
        <v>0</v>
      </c>
      <c r="F24" s="96">
        <f t="shared" ca="1" si="2"/>
        <v>46211</v>
      </c>
      <c r="G24" s="77"/>
      <c r="H24" s="98">
        <f t="shared" si="3"/>
        <v>7</v>
      </c>
      <c r="I24" s="77"/>
      <c r="J24" s="77"/>
    </row>
    <row r="25" spans="1:10" ht="15" customHeight="1" x14ac:dyDescent="0.25">
      <c r="A25" s="77"/>
      <c r="B25" s="77"/>
      <c r="C25" s="97" t="str">
        <f t="shared" si="0"/>
        <v/>
      </c>
      <c r="D25" s="77"/>
      <c r="E25" s="95">
        <f t="shared" si="1"/>
        <v>0</v>
      </c>
      <c r="F25" s="96">
        <f t="shared" ca="1" si="2"/>
        <v>46211</v>
      </c>
      <c r="G25" s="77"/>
      <c r="H25" s="98">
        <f t="shared" si="3"/>
        <v>7</v>
      </c>
      <c r="I25" s="77"/>
      <c r="J25" s="77"/>
    </row>
    <row r="26" spans="1:10" ht="15" customHeight="1" x14ac:dyDescent="0.25">
      <c r="A26" s="77"/>
      <c r="B26" s="77"/>
      <c r="C26" s="97" t="str">
        <f t="shared" si="0"/>
        <v/>
      </c>
      <c r="D26" s="77"/>
      <c r="E26" s="95">
        <f t="shared" si="1"/>
        <v>0</v>
      </c>
      <c r="F26" s="96">
        <f t="shared" ca="1" si="2"/>
        <v>46211</v>
      </c>
      <c r="G26" s="77"/>
      <c r="H26" s="98">
        <f t="shared" si="3"/>
        <v>7</v>
      </c>
      <c r="I26" s="77"/>
      <c r="J26" s="77"/>
    </row>
    <row r="27" spans="1:10" ht="15" customHeight="1" x14ac:dyDescent="0.25">
      <c r="A27" s="77"/>
      <c r="B27" s="77"/>
      <c r="C27" s="97" t="str">
        <f t="shared" si="0"/>
        <v/>
      </c>
      <c r="D27" s="77"/>
      <c r="E27" s="95">
        <f t="shared" si="1"/>
        <v>0</v>
      </c>
      <c r="F27" s="96">
        <f t="shared" ca="1" si="2"/>
        <v>46211</v>
      </c>
      <c r="G27" s="77"/>
      <c r="H27" s="98">
        <f t="shared" si="3"/>
        <v>7</v>
      </c>
      <c r="I27" s="77"/>
      <c r="J27" s="77"/>
    </row>
    <row r="28" spans="1:10" ht="15" customHeight="1" x14ac:dyDescent="0.25">
      <c r="A28" s="77"/>
      <c r="B28" s="77"/>
      <c r="C28" s="97" t="str">
        <f t="shared" si="0"/>
        <v/>
      </c>
      <c r="D28" s="77"/>
      <c r="E28" s="95">
        <f t="shared" si="1"/>
        <v>0</v>
      </c>
      <c r="F28" s="96">
        <f t="shared" ca="1" si="2"/>
        <v>46211</v>
      </c>
      <c r="G28" s="77"/>
      <c r="H28" s="98">
        <f t="shared" si="3"/>
        <v>7</v>
      </c>
      <c r="I28" s="77"/>
      <c r="J28" s="77"/>
    </row>
    <row r="29" spans="1:10" ht="15" customHeight="1" x14ac:dyDescent="0.25">
      <c r="A29" s="77"/>
      <c r="B29" s="77"/>
      <c r="C29" s="97" t="str">
        <f t="shared" si="0"/>
        <v/>
      </c>
      <c r="D29" s="77"/>
      <c r="E29" s="95">
        <f t="shared" si="1"/>
        <v>0</v>
      </c>
      <c r="F29" s="96">
        <f t="shared" ca="1" si="2"/>
        <v>46211</v>
      </c>
      <c r="G29" s="77"/>
      <c r="H29" s="98">
        <f t="shared" si="3"/>
        <v>7</v>
      </c>
      <c r="I29" s="77"/>
      <c r="J29" s="77"/>
    </row>
    <row r="30" spans="1:10" ht="15" customHeight="1" x14ac:dyDescent="0.25">
      <c r="A30" s="77"/>
      <c r="B30" s="77"/>
      <c r="C30" s="97" t="str">
        <f t="shared" si="0"/>
        <v/>
      </c>
      <c r="D30" s="77"/>
      <c r="E30" s="95">
        <f t="shared" si="1"/>
        <v>0</v>
      </c>
      <c r="F30" s="96">
        <f t="shared" ca="1" si="2"/>
        <v>46211</v>
      </c>
      <c r="G30" s="77"/>
      <c r="H30" s="98">
        <f t="shared" si="3"/>
        <v>7</v>
      </c>
      <c r="I30" s="77"/>
      <c r="J30" s="77"/>
    </row>
    <row r="31" spans="1:10" ht="15" customHeight="1" x14ac:dyDescent="0.25">
      <c r="A31" s="77"/>
      <c r="B31" s="77"/>
      <c r="C31" s="97" t="str">
        <f t="shared" si="0"/>
        <v/>
      </c>
      <c r="D31" s="77"/>
      <c r="E31" s="95">
        <f t="shared" si="1"/>
        <v>0</v>
      </c>
      <c r="F31" s="96">
        <f t="shared" ca="1" si="2"/>
        <v>46211</v>
      </c>
      <c r="G31" s="77"/>
      <c r="H31" s="98">
        <f t="shared" si="3"/>
        <v>7</v>
      </c>
      <c r="I31" s="77"/>
      <c r="J31" s="77"/>
    </row>
    <row r="32" spans="1:10" ht="15" customHeight="1" x14ac:dyDescent="0.25">
      <c r="A32" s="77"/>
      <c r="B32" s="77"/>
      <c r="C32" s="97" t="str">
        <f t="shared" si="0"/>
        <v/>
      </c>
      <c r="D32" s="77"/>
      <c r="E32" s="95">
        <f t="shared" si="1"/>
        <v>0</v>
      </c>
      <c r="F32" s="96">
        <f t="shared" ca="1" si="2"/>
        <v>46211</v>
      </c>
      <c r="G32" s="77"/>
      <c r="H32" s="98">
        <f t="shared" si="3"/>
        <v>7</v>
      </c>
      <c r="I32" s="77"/>
      <c r="J32" s="77"/>
    </row>
    <row r="33" spans="1:10" ht="15" customHeight="1" x14ac:dyDescent="0.25">
      <c r="A33" s="77"/>
      <c r="B33" s="77"/>
      <c r="C33" s="97" t="str">
        <f t="shared" si="0"/>
        <v/>
      </c>
      <c r="D33" s="77"/>
      <c r="E33" s="95">
        <f t="shared" si="1"/>
        <v>0</v>
      </c>
      <c r="F33" s="96">
        <f t="shared" ca="1" si="2"/>
        <v>46211</v>
      </c>
      <c r="G33" s="77"/>
      <c r="H33" s="98">
        <f t="shared" si="3"/>
        <v>7</v>
      </c>
      <c r="I33" s="77"/>
      <c r="J33" s="77"/>
    </row>
    <row r="34" spans="1:10" ht="15" customHeight="1" x14ac:dyDescent="0.25">
      <c r="A34" s="77"/>
      <c r="B34" s="77"/>
      <c r="C34" s="97" t="str">
        <f t="shared" si="0"/>
        <v/>
      </c>
      <c r="D34" s="77"/>
      <c r="E34" s="95">
        <f t="shared" si="1"/>
        <v>0</v>
      </c>
      <c r="F34" s="96">
        <f t="shared" ca="1" si="2"/>
        <v>46211</v>
      </c>
      <c r="G34" s="77"/>
      <c r="H34" s="98">
        <f t="shared" si="3"/>
        <v>7</v>
      </c>
      <c r="I34" s="77"/>
      <c r="J34" s="77"/>
    </row>
    <row r="35" spans="1:10" ht="15" customHeight="1" x14ac:dyDescent="0.25">
      <c r="A35" s="77"/>
      <c r="B35" s="77"/>
      <c r="C35" s="97" t="str">
        <f t="shared" ref="C35:C66" si="4">IFERROR(VLOOKUP(B35,Projects_Table,2,FALSE()),"")</f>
        <v/>
      </c>
      <c r="D35" s="77"/>
      <c r="E35" s="95">
        <f t="shared" ref="E35:E66" si="5">IFERROR(VLOOKUP(B35,Projects_Table,13,FALSE()),0)</f>
        <v>0</v>
      </c>
      <c r="F35" s="96">
        <f t="shared" ref="F35:F66" ca="1" si="6">IFERROR(TODAY()-D35,"")</f>
        <v>46211</v>
      </c>
      <c r="G35" s="77"/>
      <c r="H35" s="98">
        <f t="shared" ref="H35:H66" si="7">IFERROR(G35+7,"")</f>
        <v>7</v>
      </c>
      <c r="I35" s="77"/>
      <c r="J35" s="77"/>
    </row>
    <row r="36" spans="1:10" ht="15" customHeight="1" x14ac:dyDescent="0.25">
      <c r="A36" s="77"/>
      <c r="B36" s="77"/>
      <c r="C36" s="97" t="str">
        <f t="shared" si="4"/>
        <v/>
      </c>
      <c r="D36" s="77"/>
      <c r="E36" s="95">
        <f t="shared" si="5"/>
        <v>0</v>
      </c>
      <c r="F36" s="96">
        <f t="shared" ca="1" si="6"/>
        <v>46211</v>
      </c>
      <c r="G36" s="77"/>
      <c r="H36" s="98">
        <f t="shared" si="7"/>
        <v>7</v>
      </c>
      <c r="I36" s="77"/>
      <c r="J36" s="77"/>
    </row>
    <row r="37" spans="1:10" ht="15" customHeight="1" x14ac:dyDescent="0.25">
      <c r="A37" s="77"/>
      <c r="B37" s="77"/>
      <c r="C37" s="97" t="str">
        <f t="shared" si="4"/>
        <v/>
      </c>
      <c r="D37" s="77"/>
      <c r="E37" s="95">
        <f t="shared" si="5"/>
        <v>0</v>
      </c>
      <c r="F37" s="96">
        <f t="shared" ca="1" si="6"/>
        <v>46211</v>
      </c>
      <c r="G37" s="77"/>
      <c r="H37" s="98">
        <f t="shared" si="7"/>
        <v>7</v>
      </c>
      <c r="I37" s="77"/>
      <c r="J37" s="77"/>
    </row>
    <row r="38" spans="1:10" ht="15" customHeight="1" x14ac:dyDescent="0.25">
      <c r="A38" s="77"/>
      <c r="B38" s="77"/>
      <c r="C38" s="97" t="str">
        <f t="shared" si="4"/>
        <v/>
      </c>
      <c r="D38" s="77"/>
      <c r="E38" s="95">
        <f t="shared" si="5"/>
        <v>0</v>
      </c>
      <c r="F38" s="96">
        <f t="shared" ca="1" si="6"/>
        <v>46211</v>
      </c>
      <c r="G38" s="77"/>
      <c r="H38" s="98">
        <f t="shared" si="7"/>
        <v>7</v>
      </c>
      <c r="I38" s="77"/>
      <c r="J38" s="77"/>
    </row>
    <row r="39" spans="1:10" ht="15" customHeight="1" x14ac:dyDescent="0.25">
      <c r="A39" s="77"/>
      <c r="B39" s="77"/>
      <c r="C39" s="97" t="str">
        <f t="shared" si="4"/>
        <v/>
      </c>
      <c r="D39" s="77"/>
      <c r="E39" s="95">
        <f t="shared" si="5"/>
        <v>0</v>
      </c>
      <c r="F39" s="96">
        <f t="shared" ca="1" si="6"/>
        <v>46211</v>
      </c>
      <c r="G39" s="77"/>
      <c r="H39" s="98">
        <f t="shared" si="7"/>
        <v>7</v>
      </c>
      <c r="I39" s="77"/>
      <c r="J39" s="77"/>
    </row>
    <row r="40" spans="1:10" ht="15" customHeight="1" x14ac:dyDescent="0.25">
      <c r="A40" s="77"/>
      <c r="B40" s="77"/>
      <c r="C40" s="97" t="str">
        <f t="shared" si="4"/>
        <v/>
      </c>
      <c r="D40" s="77"/>
      <c r="E40" s="95">
        <f t="shared" si="5"/>
        <v>0</v>
      </c>
      <c r="F40" s="96">
        <f t="shared" ca="1" si="6"/>
        <v>46211</v>
      </c>
      <c r="G40" s="77"/>
      <c r="H40" s="98">
        <f t="shared" si="7"/>
        <v>7</v>
      </c>
      <c r="I40" s="77"/>
      <c r="J40" s="77"/>
    </row>
    <row r="41" spans="1:10" ht="15" customHeight="1" x14ac:dyDescent="0.25">
      <c r="A41" s="77"/>
      <c r="B41" s="77"/>
      <c r="C41" s="97" t="str">
        <f t="shared" si="4"/>
        <v/>
      </c>
      <c r="D41" s="77"/>
      <c r="E41" s="95">
        <f t="shared" si="5"/>
        <v>0</v>
      </c>
      <c r="F41" s="96">
        <f t="shared" ca="1" si="6"/>
        <v>46211</v>
      </c>
      <c r="G41" s="77"/>
      <c r="H41" s="98">
        <f t="shared" si="7"/>
        <v>7</v>
      </c>
      <c r="I41" s="77"/>
      <c r="J41" s="77"/>
    </row>
    <row r="42" spans="1:10" ht="15" customHeight="1" x14ac:dyDescent="0.25">
      <c r="A42" s="77"/>
      <c r="B42" s="77"/>
      <c r="C42" s="97" t="str">
        <f t="shared" si="4"/>
        <v/>
      </c>
      <c r="D42" s="77"/>
      <c r="E42" s="95">
        <f t="shared" si="5"/>
        <v>0</v>
      </c>
      <c r="F42" s="96">
        <f t="shared" ca="1" si="6"/>
        <v>46211</v>
      </c>
      <c r="G42" s="77"/>
      <c r="H42" s="98">
        <f t="shared" si="7"/>
        <v>7</v>
      </c>
      <c r="I42" s="77"/>
      <c r="J42" s="77"/>
    </row>
    <row r="43" spans="1:10" ht="15" customHeight="1" x14ac:dyDescent="0.25">
      <c r="A43" s="77"/>
      <c r="B43" s="77"/>
      <c r="C43" s="97" t="str">
        <f t="shared" si="4"/>
        <v/>
      </c>
      <c r="D43" s="77"/>
      <c r="E43" s="95">
        <f t="shared" si="5"/>
        <v>0</v>
      </c>
      <c r="F43" s="96">
        <f t="shared" ca="1" si="6"/>
        <v>46211</v>
      </c>
      <c r="G43" s="77"/>
      <c r="H43" s="98">
        <f t="shared" si="7"/>
        <v>7</v>
      </c>
      <c r="I43" s="77"/>
      <c r="J43" s="77"/>
    </row>
    <row r="44" spans="1:10" ht="15" customHeight="1" x14ac:dyDescent="0.25">
      <c r="A44" s="77"/>
      <c r="B44" s="77"/>
      <c r="C44" s="97" t="str">
        <f t="shared" si="4"/>
        <v/>
      </c>
      <c r="D44" s="77"/>
      <c r="E44" s="95">
        <f t="shared" si="5"/>
        <v>0</v>
      </c>
      <c r="F44" s="96">
        <f t="shared" ca="1" si="6"/>
        <v>46211</v>
      </c>
      <c r="G44" s="77"/>
      <c r="H44" s="98">
        <f t="shared" si="7"/>
        <v>7</v>
      </c>
      <c r="I44" s="77"/>
      <c r="J44" s="77"/>
    </row>
    <row r="45" spans="1:10" ht="15" customHeight="1" x14ac:dyDescent="0.25">
      <c r="A45" s="77"/>
      <c r="B45" s="77"/>
      <c r="C45" s="97" t="str">
        <f t="shared" si="4"/>
        <v/>
      </c>
      <c r="D45" s="77"/>
      <c r="E45" s="95">
        <f t="shared" si="5"/>
        <v>0</v>
      </c>
      <c r="F45" s="96">
        <f t="shared" ca="1" si="6"/>
        <v>46211</v>
      </c>
      <c r="G45" s="77"/>
      <c r="H45" s="98">
        <f t="shared" si="7"/>
        <v>7</v>
      </c>
      <c r="I45" s="77"/>
      <c r="J45" s="77"/>
    </row>
    <row r="46" spans="1:10" ht="15" customHeight="1" x14ac:dyDescent="0.25">
      <c r="A46" s="77"/>
      <c r="B46" s="77"/>
      <c r="C46" s="97" t="str">
        <f t="shared" si="4"/>
        <v/>
      </c>
      <c r="D46" s="77"/>
      <c r="E46" s="95">
        <f t="shared" si="5"/>
        <v>0</v>
      </c>
      <c r="F46" s="96">
        <f t="shared" ca="1" si="6"/>
        <v>46211</v>
      </c>
      <c r="G46" s="77"/>
      <c r="H46" s="98">
        <f t="shared" si="7"/>
        <v>7</v>
      </c>
      <c r="I46" s="77"/>
      <c r="J46" s="77"/>
    </row>
    <row r="47" spans="1:10" ht="15" customHeight="1" x14ac:dyDescent="0.25">
      <c r="A47" s="77"/>
      <c r="B47" s="77"/>
      <c r="C47" s="97" t="str">
        <f t="shared" si="4"/>
        <v/>
      </c>
      <c r="D47" s="77"/>
      <c r="E47" s="95">
        <f t="shared" si="5"/>
        <v>0</v>
      </c>
      <c r="F47" s="96">
        <f t="shared" ca="1" si="6"/>
        <v>46211</v>
      </c>
      <c r="G47" s="77"/>
      <c r="H47" s="98">
        <f t="shared" si="7"/>
        <v>7</v>
      </c>
      <c r="I47" s="77"/>
      <c r="J47" s="77"/>
    </row>
    <row r="48" spans="1:10" ht="15" customHeight="1" x14ac:dyDescent="0.25">
      <c r="A48" s="77"/>
      <c r="B48" s="77"/>
      <c r="C48" s="97" t="str">
        <f t="shared" si="4"/>
        <v/>
      </c>
      <c r="D48" s="77"/>
      <c r="E48" s="95">
        <f t="shared" si="5"/>
        <v>0</v>
      </c>
      <c r="F48" s="96">
        <f t="shared" ca="1" si="6"/>
        <v>46211</v>
      </c>
      <c r="G48" s="77"/>
      <c r="H48" s="98">
        <f t="shared" si="7"/>
        <v>7</v>
      </c>
      <c r="I48" s="77"/>
      <c r="J48" s="77"/>
    </row>
    <row r="49" spans="1:10" ht="15" customHeight="1" x14ac:dyDescent="0.25">
      <c r="A49" s="77"/>
      <c r="B49" s="77"/>
      <c r="C49" s="97" t="str">
        <f t="shared" si="4"/>
        <v/>
      </c>
      <c r="D49" s="77"/>
      <c r="E49" s="95">
        <f t="shared" si="5"/>
        <v>0</v>
      </c>
      <c r="F49" s="96">
        <f t="shared" ca="1" si="6"/>
        <v>46211</v>
      </c>
      <c r="G49" s="77"/>
      <c r="H49" s="98">
        <f t="shared" si="7"/>
        <v>7</v>
      </c>
      <c r="I49" s="77"/>
      <c r="J49" s="77"/>
    </row>
    <row r="50" spans="1:10" ht="15" customHeight="1" x14ac:dyDescent="0.25">
      <c r="A50" s="77"/>
      <c r="B50" s="77"/>
      <c r="C50" s="97" t="str">
        <f t="shared" si="4"/>
        <v/>
      </c>
      <c r="D50" s="77"/>
      <c r="E50" s="95">
        <f t="shared" si="5"/>
        <v>0</v>
      </c>
      <c r="F50" s="96">
        <f t="shared" ca="1" si="6"/>
        <v>46211</v>
      </c>
      <c r="G50" s="77"/>
      <c r="H50" s="98">
        <f t="shared" si="7"/>
        <v>7</v>
      </c>
      <c r="I50" s="77"/>
      <c r="J50" s="77"/>
    </row>
    <row r="51" spans="1:10" ht="15" customHeight="1" x14ac:dyDescent="0.25">
      <c r="A51" s="77"/>
      <c r="B51" s="77"/>
      <c r="C51" s="97" t="str">
        <f t="shared" si="4"/>
        <v/>
      </c>
      <c r="D51" s="77"/>
      <c r="E51" s="95">
        <f t="shared" si="5"/>
        <v>0</v>
      </c>
      <c r="F51" s="96">
        <f t="shared" ca="1" si="6"/>
        <v>46211</v>
      </c>
      <c r="G51" s="77"/>
      <c r="H51" s="98">
        <f t="shared" si="7"/>
        <v>7</v>
      </c>
      <c r="I51" s="77"/>
      <c r="J51" s="77"/>
    </row>
    <row r="52" spans="1:10" ht="15" customHeight="1" x14ac:dyDescent="0.25">
      <c r="A52" s="77"/>
      <c r="B52" s="77"/>
      <c r="C52" s="97" t="str">
        <f t="shared" si="4"/>
        <v/>
      </c>
      <c r="D52" s="77"/>
      <c r="E52" s="95">
        <f t="shared" si="5"/>
        <v>0</v>
      </c>
      <c r="F52" s="96">
        <f t="shared" ca="1" si="6"/>
        <v>46211</v>
      </c>
      <c r="G52" s="77"/>
      <c r="H52" s="98">
        <f t="shared" si="7"/>
        <v>7</v>
      </c>
      <c r="I52" s="77"/>
      <c r="J52" s="77"/>
    </row>
    <row r="53" spans="1:10" ht="15" customHeight="1" x14ac:dyDescent="0.25">
      <c r="A53" s="77"/>
      <c r="B53" s="77"/>
      <c r="C53" s="97" t="str">
        <f t="shared" si="4"/>
        <v/>
      </c>
      <c r="D53" s="77"/>
      <c r="E53" s="95">
        <f t="shared" si="5"/>
        <v>0</v>
      </c>
      <c r="F53" s="96">
        <f t="shared" ca="1" si="6"/>
        <v>46211</v>
      </c>
      <c r="G53" s="77"/>
      <c r="H53" s="98">
        <f t="shared" si="7"/>
        <v>7</v>
      </c>
      <c r="I53" s="77"/>
      <c r="J53" s="77"/>
    </row>
    <row r="54" spans="1:10" ht="15" customHeight="1" x14ac:dyDescent="0.25">
      <c r="A54" s="77"/>
      <c r="B54" s="77"/>
      <c r="C54" s="97" t="str">
        <f t="shared" si="4"/>
        <v/>
      </c>
      <c r="D54" s="77"/>
      <c r="E54" s="95">
        <f t="shared" si="5"/>
        <v>0</v>
      </c>
      <c r="F54" s="96">
        <f t="shared" ca="1" si="6"/>
        <v>46211</v>
      </c>
      <c r="G54" s="77"/>
      <c r="H54" s="98">
        <f t="shared" si="7"/>
        <v>7</v>
      </c>
      <c r="I54" s="77"/>
      <c r="J54" s="77"/>
    </row>
    <row r="55" spans="1:10" ht="15" customHeight="1" x14ac:dyDescent="0.25">
      <c r="A55" s="77"/>
      <c r="B55" s="77"/>
      <c r="C55" s="97" t="str">
        <f t="shared" si="4"/>
        <v/>
      </c>
      <c r="D55" s="77"/>
      <c r="E55" s="95">
        <f t="shared" si="5"/>
        <v>0</v>
      </c>
      <c r="F55" s="96">
        <f t="shared" ca="1" si="6"/>
        <v>46211</v>
      </c>
      <c r="G55" s="77"/>
      <c r="H55" s="98">
        <f t="shared" si="7"/>
        <v>7</v>
      </c>
      <c r="I55" s="77"/>
      <c r="J55" s="77"/>
    </row>
    <row r="56" spans="1:10" ht="15" customHeight="1" x14ac:dyDescent="0.25">
      <c r="A56" s="77"/>
      <c r="B56" s="77"/>
      <c r="C56" s="97" t="str">
        <f t="shared" si="4"/>
        <v/>
      </c>
      <c r="D56" s="77"/>
      <c r="E56" s="95">
        <f t="shared" si="5"/>
        <v>0</v>
      </c>
      <c r="F56" s="96">
        <f t="shared" ca="1" si="6"/>
        <v>46211</v>
      </c>
      <c r="G56" s="77"/>
      <c r="H56" s="98">
        <f t="shared" si="7"/>
        <v>7</v>
      </c>
      <c r="I56" s="77"/>
      <c r="J56" s="77"/>
    </row>
    <row r="57" spans="1:10" ht="15" customHeight="1" x14ac:dyDescent="0.25">
      <c r="A57" s="77"/>
      <c r="B57" s="77"/>
      <c r="C57" s="97" t="str">
        <f t="shared" si="4"/>
        <v/>
      </c>
      <c r="D57" s="77"/>
      <c r="E57" s="95">
        <f t="shared" si="5"/>
        <v>0</v>
      </c>
      <c r="F57" s="96">
        <f t="shared" ca="1" si="6"/>
        <v>46211</v>
      </c>
      <c r="G57" s="77"/>
      <c r="H57" s="98">
        <f t="shared" si="7"/>
        <v>7</v>
      </c>
      <c r="I57" s="77"/>
      <c r="J57" s="77"/>
    </row>
    <row r="58" spans="1:10" ht="15" customHeight="1" x14ac:dyDescent="0.25">
      <c r="A58" s="77"/>
      <c r="B58" s="77"/>
      <c r="C58" s="97" t="str">
        <f t="shared" si="4"/>
        <v/>
      </c>
      <c r="D58" s="77"/>
      <c r="E58" s="95">
        <f t="shared" si="5"/>
        <v>0</v>
      </c>
      <c r="F58" s="96">
        <f t="shared" ca="1" si="6"/>
        <v>46211</v>
      </c>
      <c r="G58" s="77"/>
      <c r="H58" s="98">
        <f t="shared" si="7"/>
        <v>7</v>
      </c>
      <c r="I58" s="77"/>
      <c r="J58" s="77"/>
    </row>
    <row r="59" spans="1:10" ht="15" customHeight="1" x14ac:dyDescent="0.25">
      <c r="A59" s="77"/>
      <c r="B59" s="77"/>
      <c r="C59" s="97" t="str">
        <f t="shared" si="4"/>
        <v/>
      </c>
      <c r="D59" s="77"/>
      <c r="E59" s="95">
        <f t="shared" si="5"/>
        <v>0</v>
      </c>
      <c r="F59" s="96">
        <f t="shared" ca="1" si="6"/>
        <v>46211</v>
      </c>
      <c r="G59" s="77"/>
      <c r="H59" s="98">
        <f t="shared" si="7"/>
        <v>7</v>
      </c>
      <c r="I59" s="77"/>
      <c r="J59" s="77"/>
    </row>
    <row r="60" spans="1:10" ht="15" customHeight="1" x14ac:dyDescent="0.25">
      <c r="A60" s="77"/>
      <c r="B60" s="77"/>
      <c r="C60" s="97" t="str">
        <f t="shared" si="4"/>
        <v/>
      </c>
      <c r="D60" s="77"/>
      <c r="E60" s="95">
        <f t="shared" si="5"/>
        <v>0</v>
      </c>
      <c r="F60" s="96">
        <f t="shared" ca="1" si="6"/>
        <v>46211</v>
      </c>
      <c r="G60" s="77"/>
      <c r="H60" s="98">
        <f t="shared" si="7"/>
        <v>7</v>
      </c>
      <c r="I60" s="77"/>
      <c r="J60" s="77"/>
    </row>
    <row r="61" spans="1:10" ht="15" customHeight="1" x14ac:dyDescent="0.25">
      <c r="A61" s="77"/>
      <c r="B61" s="77"/>
      <c r="C61" s="97" t="str">
        <f t="shared" si="4"/>
        <v/>
      </c>
      <c r="D61" s="77"/>
      <c r="E61" s="95">
        <f t="shared" si="5"/>
        <v>0</v>
      </c>
      <c r="F61" s="96">
        <f t="shared" ca="1" si="6"/>
        <v>46211</v>
      </c>
      <c r="G61" s="77"/>
      <c r="H61" s="98">
        <f t="shared" si="7"/>
        <v>7</v>
      </c>
      <c r="I61" s="77"/>
      <c r="J61" s="77"/>
    </row>
    <row r="62" spans="1:10" ht="15" customHeight="1" x14ac:dyDescent="0.25">
      <c r="A62" s="77"/>
      <c r="B62" s="77"/>
      <c r="C62" s="97" t="str">
        <f t="shared" si="4"/>
        <v/>
      </c>
      <c r="D62" s="77"/>
      <c r="E62" s="95">
        <f t="shared" si="5"/>
        <v>0</v>
      </c>
      <c r="F62" s="96">
        <f t="shared" ca="1" si="6"/>
        <v>46211</v>
      </c>
      <c r="G62" s="77"/>
      <c r="H62" s="98">
        <f t="shared" si="7"/>
        <v>7</v>
      </c>
      <c r="I62" s="77"/>
      <c r="J62" s="77"/>
    </row>
    <row r="63" spans="1:10" ht="15" customHeight="1" x14ac:dyDescent="0.25">
      <c r="A63" s="77"/>
      <c r="B63" s="77"/>
      <c r="C63" s="97" t="str">
        <f t="shared" si="4"/>
        <v/>
      </c>
      <c r="D63" s="77"/>
      <c r="E63" s="95">
        <f t="shared" si="5"/>
        <v>0</v>
      </c>
      <c r="F63" s="96">
        <f t="shared" ca="1" si="6"/>
        <v>46211</v>
      </c>
      <c r="G63" s="77"/>
      <c r="H63" s="98">
        <f t="shared" si="7"/>
        <v>7</v>
      </c>
      <c r="I63" s="77"/>
      <c r="J63" s="77"/>
    </row>
    <row r="64" spans="1:10" ht="15" customHeight="1" x14ac:dyDescent="0.25">
      <c r="A64" s="77"/>
      <c r="B64" s="77"/>
      <c r="C64" s="97" t="str">
        <f t="shared" si="4"/>
        <v/>
      </c>
      <c r="D64" s="77"/>
      <c r="E64" s="95">
        <f t="shared" si="5"/>
        <v>0</v>
      </c>
      <c r="F64" s="96">
        <f t="shared" ca="1" si="6"/>
        <v>46211</v>
      </c>
      <c r="G64" s="77"/>
      <c r="H64" s="98">
        <f t="shared" si="7"/>
        <v>7</v>
      </c>
      <c r="I64" s="77"/>
      <c r="J64" s="77"/>
    </row>
    <row r="65" spans="1:10" ht="15" customHeight="1" x14ac:dyDescent="0.25">
      <c r="A65" s="77"/>
      <c r="B65" s="77"/>
      <c r="C65" s="97" t="str">
        <f t="shared" si="4"/>
        <v/>
      </c>
      <c r="D65" s="77"/>
      <c r="E65" s="95">
        <f t="shared" si="5"/>
        <v>0</v>
      </c>
      <c r="F65" s="96">
        <f t="shared" ca="1" si="6"/>
        <v>46211</v>
      </c>
      <c r="G65" s="77"/>
      <c r="H65" s="98">
        <f t="shared" si="7"/>
        <v>7</v>
      </c>
      <c r="I65" s="77"/>
      <c r="J65" s="77"/>
    </row>
    <row r="66" spans="1:10" ht="15" customHeight="1" x14ac:dyDescent="0.25">
      <c r="A66" s="77"/>
      <c r="B66" s="77"/>
      <c r="C66" s="97" t="str">
        <f t="shared" si="4"/>
        <v/>
      </c>
      <c r="D66" s="77"/>
      <c r="E66" s="95">
        <f t="shared" si="5"/>
        <v>0</v>
      </c>
      <c r="F66" s="96">
        <f t="shared" ca="1" si="6"/>
        <v>46211</v>
      </c>
      <c r="G66" s="77"/>
      <c r="H66" s="98">
        <f t="shared" si="7"/>
        <v>7</v>
      </c>
      <c r="I66" s="77"/>
      <c r="J66" s="77"/>
    </row>
    <row r="67" spans="1:10" ht="15" customHeight="1" x14ac:dyDescent="0.25">
      <c r="A67" s="77"/>
      <c r="B67" s="77"/>
      <c r="C67" s="97" t="str">
        <f t="shared" ref="C67:C98" si="8">IFERROR(VLOOKUP(B67,Projects_Table,2,FALSE()),"")</f>
        <v/>
      </c>
      <c r="D67" s="77"/>
      <c r="E67" s="95">
        <f t="shared" ref="E67:E102" si="9">IFERROR(VLOOKUP(B67,Projects_Table,13,FALSE()),0)</f>
        <v>0</v>
      </c>
      <c r="F67" s="96">
        <f t="shared" ref="F67:F102" ca="1" si="10">IFERROR(TODAY()-D67,"")</f>
        <v>46211</v>
      </c>
      <c r="G67" s="77"/>
      <c r="H67" s="98">
        <f t="shared" ref="H67:H98" si="11">IFERROR(G67+7,"")</f>
        <v>7</v>
      </c>
      <c r="I67" s="77"/>
      <c r="J67" s="77"/>
    </row>
    <row r="68" spans="1:10" ht="15" customHeight="1" x14ac:dyDescent="0.25">
      <c r="A68" s="77"/>
      <c r="B68" s="77"/>
      <c r="C68" s="97" t="str">
        <f t="shared" si="8"/>
        <v/>
      </c>
      <c r="D68" s="77"/>
      <c r="E68" s="95">
        <f t="shared" si="9"/>
        <v>0</v>
      </c>
      <c r="F68" s="96">
        <f t="shared" ca="1" si="10"/>
        <v>46211</v>
      </c>
      <c r="G68" s="77"/>
      <c r="H68" s="98">
        <f t="shared" si="11"/>
        <v>7</v>
      </c>
      <c r="I68" s="77"/>
      <c r="J68" s="77"/>
    </row>
    <row r="69" spans="1:10" ht="15" customHeight="1" x14ac:dyDescent="0.25">
      <c r="A69" s="77"/>
      <c r="B69" s="77"/>
      <c r="C69" s="97" t="str">
        <f t="shared" si="8"/>
        <v/>
      </c>
      <c r="D69" s="77"/>
      <c r="E69" s="95">
        <f t="shared" si="9"/>
        <v>0</v>
      </c>
      <c r="F69" s="96">
        <f t="shared" ca="1" si="10"/>
        <v>46211</v>
      </c>
      <c r="G69" s="77"/>
      <c r="H69" s="98">
        <f t="shared" si="11"/>
        <v>7</v>
      </c>
      <c r="I69" s="77"/>
      <c r="J69" s="77"/>
    </row>
    <row r="70" spans="1:10" ht="15" customHeight="1" x14ac:dyDescent="0.25">
      <c r="A70" s="77"/>
      <c r="B70" s="77"/>
      <c r="C70" s="97" t="str">
        <f t="shared" si="8"/>
        <v/>
      </c>
      <c r="D70" s="77"/>
      <c r="E70" s="95">
        <f t="shared" si="9"/>
        <v>0</v>
      </c>
      <c r="F70" s="96">
        <f t="shared" ca="1" si="10"/>
        <v>46211</v>
      </c>
      <c r="G70" s="77"/>
      <c r="H70" s="98">
        <f t="shared" si="11"/>
        <v>7</v>
      </c>
      <c r="I70" s="77"/>
      <c r="J70" s="77"/>
    </row>
    <row r="71" spans="1:10" ht="15" customHeight="1" x14ac:dyDescent="0.25">
      <c r="A71" s="77"/>
      <c r="B71" s="77"/>
      <c r="C71" s="97" t="str">
        <f t="shared" si="8"/>
        <v/>
      </c>
      <c r="D71" s="77"/>
      <c r="E71" s="95">
        <f t="shared" si="9"/>
        <v>0</v>
      </c>
      <c r="F71" s="96">
        <f t="shared" ca="1" si="10"/>
        <v>46211</v>
      </c>
      <c r="G71" s="77"/>
      <c r="H71" s="98">
        <f t="shared" si="11"/>
        <v>7</v>
      </c>
      <c r="I71" s="77"/>
      <c r="J71" s="77"/>
    </row>
    <row r="72" spans="1:10" ht="15" customHeight="1" x14ac:dyDescent="0.25">
      <c r="A72" s="77"/>
      <c r="B72" s="77"/>
      <c r="C72" s="97" t="str">
        <f t="shared" si="8"/>
        <v/>
      </c>
      <c r="D72" s="77"/>
      <c r="E72" s="95">
        <f t="shared" si="9"/>
        <v>0</v>
      </c>
      <c r="F72" s="96">
        <f t="shared" ca="1" si="10"/>
        <v>46211</v>
      </c>
      <c r="G72" s="77"/>
      <c r="H72" s="98">
        <f t="shared" si="11"/>
        <v>7</v>
      </c>
      <c r="I72" s="77"/>
      <c r="J72" s="77"/>
    </row>
    <row r="73" spans="1:10" ht="15" customHeight="1" x14ac:dyDescent="0.25">
      <c r="A73" s="77"/>
      <c r="B73" s="77"/>
      <c r="C73" s="97" t="str">
        <f t="shared" si="8"/>
        <v/>
      </c>
      <c r="D73" s="77"/>
      <c r="E73" s="95">
        <f t="shared" si="9"/>
        <v>0</v>
      </c>
      <c r="F73" s="96">
        <f t="shared" ca="1" si="10"/>
        <v>46211</v>
      </c>
      <c r="G73" s="77"/>
      <c r="H73" s="98">
        <f t="shared" si="11"/>
        <v>7</v>
      </c>
      <c r="I73" s="77"/>
      <c r="J73" s="77"/>
    </row>
    <row r="74" spans="1:10" ht="15" customHeight="1" x14ac:dyDescent="0.25">
      <c r="A74" s="77"/>
      <c r="B74" s="77"/>
      <c r="C74" s="97" t="str">
        <f t="shared" si="8"/>
        <v/>
      </c>
      <c r="D74" s="77"/>
      <c r="E74" s="95">
        <f t="shared" si="9"/>
        <v>0</v>
      </c>
      <c r="F74" s="96">
        <f t="shared" ca="1" si="10"/>
        <v>46211</v>
      </c>
      <c r="G74" s="77"/>
      <c r="H74" s="98">
        <f t="shared" si="11"/>
        <v>7</v>
      </c>
      <c r="I74" s="77"/>
      <c r="J74" s="77"/>
    </row>
    <row r="75" spans="1:10" ht="15" customHeight="1" x14ac:dyDescent="0.25">
      <c r="A75" s="77"/>
      <c r="B75" s="77"/>
      <c r="C75" s="97" t="str">
        <f t="shared" si="8"/>
        <v/>
      </c>
      <c r="D75" s="77"/>
      <c r="E75" s="95">
        <f t="shared" si="9"/>
        <v>0</v>
      </c>
      <c r="F75" s="96">
        <f t="shared" ca="1" si="10"/>
        <v>46211</v>
      </c>
      <c r="G75" s="77"/>
      <c r="H75" s="98">
        <f t="shared" si="11"/>
        <v>7</v>
      </c>
      <c r="I75" s="77"/>
      <c r="J75" s="77"/>
    </row>
    <row r="76" spans="1:10" ht="15" customHeight="1" x14ac:dyDescent="0.25">
      <c r="A76" s="77"/>
      <c r="B76" s="77"/>
      <c r="C76" s="97" t="str">
        <f t="shared" si="8"/>
        <v/>
      </c>
      <c r="D76" s="77"/>
      <c r="E76" s="95">
        <f t="shared" si="9"/>
        <v>0</v>
      </c>
      <c r="F76" s="96">
        <f t="shared" ca="1" si="10"/>
        <v>46211</v>
      </c>
      <c r="G76" s="77"/>
      <c r="H76" s="98">
        <f t="shared" si="11"/>
        <v>7</v>
      </c>
      <c r="I76" s="77"/>
      <c r="J76" s="77"/>
    </row>
    <row r="77" spans="1:10" ht="15" customHeight="1" x14ac:dyDescent="0.25">
      <c r="A77" s="77"/>
      <c r="B77" s="77"/>
      <c r="C77" s="97" t="str">
        <f t="shared" si="8"/>
        <v/>
      </c>
      <c r="D77" s="77"/>
      <c r="E77" s="95">
        <f t="shared" si="9"/>
        <v>0</v>
      </c>
      <c r="F77" s="96">
        <f t="shared" ca="1" si="10"/>
        <v>46211</v>
      </c>
      <c r="G77" s="77"/>
      <c r="H77" s="98">
        <f t="shared" si="11"/>
        <v>7</v>
      </c>
      <c r="I77" s="77"/>
      <c r="J77" s="77"/>
    </row>
    <row r="78" spans="1:10" ht="15" customHeight="1" x14ac:dyDescent="0.25">
      <c r="A78" s="77"/>
      <c r="B78" s="77"/>
      <c r="C78" s="97" t="str">
        <f t="shared" si="8"/>
        <v/>
      </c>
      <c r="D78" s="77"/>
      <c r="E78" s="95">
        <f t="shared" si="9"/>
        <v>0</v>
      </c>
      <c r="F78" s="96">
        <f t="shared" ca="1" si="10"/>
        <v>46211</v>
      </c>
      <c r="G78" s="77"/>
      <c r="H78" s="98">
        <f t="shared" si="11"/>
        <v>7</v>
      </c>
      <c r="I78" s="77"/>
      <c r="J78" s="77"/>
    </row>
    <row r="79" spans="1:10" ht="15" customHeight="1" x14ac:dyDescent="0.25">
      <c r="A79" s="77"/>
      <c r="B79" s="77"/>
      <c r="C79" s="97" t="str">
        <f t="shared" si="8"/>
        <v/>
      </c>
      <c r="D79" s="77"/>
      <c r="E79" s="95">
        <f t="shared" si="9"/>
        <v>0</v>
      </c>
      <c r="F79" s="96">
        <f t="shared" ca="1" si="10"/>
        <v>46211</v>
      </c>
      <c r="G79" s="77"/>
      <c r="H79" s="98">
        <f t="shared" si="11"/>
        <v>7</v>
      </c>
      <c r="I79" s="77"/>
      <c r="J79" s="77"/>
    </row>
    <row r="80" spans="1:10" ht="15" customHeight="1" x14ac:dyDescent="0.25">
      <c r="A80" s="77"/>
      <c r="B80" s="77"/>
      <c r="C80" s="97" t="str">
        <f t="shared" si="8"/>
        <v/>
      </c>
      <c r="D80" s="77"/>
      <c r="E80" s="95">
        <f t="shared" si="9"/>
        <v>0</v>
      </c>
      <c r="F80" s="96">
        <f t="shared" ca="1" si="10"/>
        <v>46211</v>
      </c>
      <c r="G80" s="77"/>
      <c r="H80" s="98">
        <f t="shared" si="11"/>
        <v>7</v>
      </c>
      <c r="I80" s="77"/>
      <c r="J80" s="77"/>
    </row>
    <row r="81" spans="1:10" ht="15" customHeight="1" x14ac:dyDescent="0.25">
      <c r="A81" s="77"/>
      <c r="B81" s="77"/>
      <c r="C81" s="97" t="str">
        <f t="shared" si="8"/>
        <v/>
      </c>
      <c r="D81" s="77"/>
      <c r="E81" s="95">
        <f t="shared" si="9"/>
        <v>0</v>
      </c>
      <c r="F81" s="96">
        <f t="shared" ca="1" si="10"/>
        <v>46211</v>
      </c>
      <c r="G81" s="77"/>
      <c r="H81" s="98">
        <f t="shared" si="11"/>
        <v>7</v>
      </c>
      <c r="I81" s="77"/>
      <c r="J81" s="77"/>
    </row>
    <row r="82" spans="1:10" ht="15" customHeight="1" x14ac:dyDescent="0.25">
      <c r="A82" s="77"/>
      <c r="B82" s="77"/>
      <c r="C82" s="97" t="str">
        <f t="shared" si="8"/>
        <v/>
      </c>
      <c r="D82" s="77"/>
      <c r="E82" s="95">
        <f t="shared" si="9"/>
        <v>0</v>
      </c>
      <c r="F82" s="96">
        <f t="shared" ca="1" si="10"/>
        <v>46211</v>
      </c>
      <c r="G82" s="77"/>
      <c r="H82" s="98">
        <f t="shared" si="11"/>
        <v>7</v>
      </c>
      <c r="I82" s="77"/>
      <c r="J82" s="77"/>
    </row>
    <row r="83" spans="1:10" ht="15" customHeight="1" x14ac:dyDescent="0.25">
      <c r="A83" s="77"/>
      <c r="B83" s="77"/>
      <c r="C83" s="97" t="str">
        <f t="shared" si="8"/>
        <v/>
      </c>
      <c r="D83" s="77"/>
      <c r="E83" s="95">
        <f t="shared" si="9"/>
        <v>0</v>
      </c>
      <c r="F83" s="96">
        <f t="shared" ca="1" si="10"/>
        <v>46211</v>
      </c>
      <c r="G83" s="77"/>
      <c r="H83" s="98">
        <f t="shared" si="11"/>
        <v>7</v>
      </c>
      <c r="I83" s="77"/>
      <c r="J83" s="77"/>
    </row>
    <row r="84" spans="1:10" ht="15" customHeight="1" x14ac:dyDescent="0.25">
      <c r="A84" s="77"/>
      <c r="B84" s="77"/>
      <c r="C84" s="97" t="str">
        <f t="shared" si="8"/>
        <v/>
      </c>
      <c r="D84" s="77"/>
      <c r="E84" s="95">
        <f t="shared" si="9"/>
        <v>0</v>
      </c>
      <c r="F84" s="96">
        <f t="shared" ca="1" si="10"/>
        <v>46211</v>
      </c>
      <c r="G84" s="77"/>
      <c r="H84" s="98">
        <f t="shared" si="11"/>
        <v>7</v>
      </c>
      <c r="I84" s="77"/>
      <c r="J84" s="77"/>
    </row>
    <row r="85" spans="1:10" ht="15" customHeight="1" x14ac:dyDescent="0.25">
      <c r="A85" s="77"/>
      <c r="B85" s="77"/>
      <c r="C85" s="97" t="str">
        <f t="shared" si="8"/>
        <v/>
      </c>
      <c r="D85" s="77"/>
      <c r="E85" s="95">
        <f t="shared" si="9"/>
        <v>0</v>
      </c>
      <c r="F85" s="96">
        <f t="shared" ca="1" si="10"/>
        <v>46211</v>
      </c>
      <c r="G85" s="77"/>
      <c r="H85" s="98">
        <f t="shared" si="11"/>
        <v>7</v>
      </c>
      <c r="I85" s="77"/>
      <c r="J85" s="77"/>
    </row>
    <row r="86" spans="1:10" ht="15" customHeight="1" x14ac:dyDescent="0.25">
      <c r="A86" s="77"/>
      <c r="B86" s="77"/>
      <c r="C86" s="97" t="str">
        <f t="shared" si="8"/>
        <v/>
      </c>
      <c r="D86" s="77"/>
      <c r="E86" s="95">
        <f t="shared" si="9"/>
        <v>0</v>
      </c>
      <c r="F86" s="96">
        <f t="shared" ca="1" si="10"/>
        <v>46211</v>
      </c>
      <c r="G86" s="77"/>
      <c r="H86" s="98">
        <f t="shared" si="11"/>
        <v>7</v>
      </c>
      <c r="I86" s="77"/>
      <c r="J86" s="77"/>
    </row>
    <row r="87" spans="1:10" ht="15" customHeight="1" x14ac:dyDescent="0.25">
      <c r="A87" s="77"/>
      <c r="B87" s="77"/>
      <c r="C87" s="97" t="str">
        <f t="shared" si="8"/>
        <v/>
      </c>
      <c r="D87" s="77"/>
      <c r="E87" s="95">
        <f t="shared" si="9"/>
        <v>0</v>
      </c>
      <c r="F87" s="96">
        <f t="shared" ca="1" si="10"/>
        <v>46211</v>
      </c>
      <c r="G87" s="77"/>
      <c r="H87" s="98">
        <f t="shared" si="11"/>
        <v>7</v>
      </c>
      <c r="I87" s="77"/>
      <c r="J87" s="77"/>
    </row>
    <row r="88" spans="1:10" ht="15" customHeight="1" x14ac:dyDescent="0.25">
      <c r="A88" s="77"/>
      <c r="B88" s="77"/>
      <c r="C88" s="97" t="str">
        <f t="shared" si="8"/>
        <v/>
      </c>
      <c r="D88" s="77"/>
      <c r="E88" s="95">
        <f t="shared" si="9"/>
        <v>0</v>
      </c>
      <c r="F88" s="96">
        <f t="shared" ca="1" si="10"/>
        <v>46211</v>
      </c>
      <c r="G88" s="77"/>
      <c r="H88" s="98">
        <f t="shared" si="11"/>
        <v>7</v>
      </c>
      <c r="I88" s="77"/>
      <c r="J88" s="77"/>
    </row>
    <row r="89" spans="1:10" ht="15" customHeight="1" x14ac:dyDescent="0.25">
      <c r="A89" s="77"/>
      <c r="B89" s="77"/>
      <c r="C89" s="97" t="str">
        <f t="shared" si="8"/>
        <v/>
      </c>
      <c r="D89" s="77"/>
      <c r="E89" s="95">
        <f t="shared" si="9"/>
        <v>0</v>
      </c>
      <c r="F89" s="96">
        <f t="shared" ca="1" si="10"/>
        <v>46211</v>
      </c>
      <c r="G89" s="77"/>
      <c r="H89" s="98">
        <f t="shared" si="11"/>
        <v>7</v>
      </c>
      <c r="I89" s="77"/>
      <c r="J89" s="77"/>
    </row>
    <row r="90" spans="1:10" ht="15" customHeight="1" x14ac:dyDescent="0.25">
      <c r="A90" s="77"/>
      <c r="B90" s="77"/>
      <c r="C90" s="97" t="str">
        <f t="shared" si="8"/>
        <v/>
      </c>
      <c r="D90" s="77"/>
      <c r="E90" s="95">
        <f t="shared" si="9"/>
        <v>0</v>
      </c>
      <c r="F90" s="96">
        <f t="shared" ca="1" si="10"/>
        <v>46211</v>
      </c>
      <c r="G90" s="77"/>
      <c r="H90" s="98">
        <f t="shared" si="11"/>
        <v>7</v>
      </c>
      <c r="I90" s="77"/>
      <c r="J90" s="77"/>
    </row>
    <row r="91" spans="1:10" ht="15" customHeight="1" x14ac:dyDescent="0.25">
      <c r="A91" s="77"/>
      <c r="B91" s="77"/>
      <c r="C91" s="97" t="str">
        <f t="shared" si="8"/>
        <v/>
      </c>
      <c r="D91" s="77"/>
      <c r="E91" s="95">
        <f t="shared" si="9"/>
        <v>0</v>
      </c>
      <c r="F91" s="96">
        <f t="shared" ca="1" si="10"/>
        <v>46211</v>
      </c>
      <c r="G91" s="77"/>
      <c r="H91" s="98">
        <f t="shared" si="11"/>
        <v>7</v>
      </c>
      <c r="I91" s="77"/>
      <c r="J91" s="77"/>
    </row>
    <row r="92" spans="1:10" ht="15" customHeight="1" x14ac:dyDescent="0.25">
      <c r="A92" s="77"/>
      <c r="B92" s="77"/>
      <c r="C92" s="97" t="str">
        <f t="shared" si="8"/>
        <v/>
      </c>
      <c r="D92" s="77"/>
      <c r="E92" s="95">
        <f t="shared" si="9"/>
        <v>0</v>
      </c>
      <c r="F92" s="96">
        <f t="shared" ca="1" si="10"/>
        <v>46211</v>
      </c>
      <c r="G92" s="77"/>
      <c r="H92" s="98">
        <f t="shared" si="11"/>
        <v>7</v>
      </c>
      <c r="I92" s="77"/>
      <c r="J92" s="77"/>
    </row>
    <row r="93" spans="1:10" ht="15" customHeight="1" x14ac:dyDescent="0.25">
      <c r="A93" s="77"/>
      <c r="B93" s="77"/>
      <c r="C93" s="97" t="str">
        <f t="shared" si="8"/>
        <v/>
      </c>
      <c r="D93" s="77"/>
      <c r="E93" s="95">
        <f t="shared" si="9"/>
        <v>0</v>
      </c>
      <c r="F93" s="96">
        <f t="shared" ca="1" si="10"/>
        <v>46211</v>
      </c>
      <c r="G93" s="77"/>
      <c r="H93" s="98">
        <f t="shared" si="11"/>
        <v>7</v>
      </c>
      <c r="I93" s="77"/>
      <c r="J93" s="77"/>
    </row>
    <row r="94" spans="1:10" ht="15" customHeight="1" x14ac:dyDescent="0.25">
      <c r="A94" s="77"/>
      <c r="B94" s="77"/>
      <c r="C94" s="97" t="str">
        <f t="shared" si="8"/>
        <v/>
      </c>
      <c r="D94" s="77"/>
      <c r="E94" s="95">
        <f t="shared" si="9"/>
        <v>0</v>
      </c>
      <c r="F94" s="96">
        <f t="shared" ca="1" si="10"/>
        <v>46211</v>
      </c>
      <c r="G94" s="77"/>
      <c r="H94" s="98">
        <f t="shared" si="11"/>
        <v>7</v>
      </c>
      <c r="I94" s="77"/>
      <c r="J94" s="77"/>
    </row>
    <row r="95" spans="1:10" ht="15" customHeight="1" x14ac:dyDescent="0.25">
      <c r="A95" s="77"/>
      <c r="B95" s="77"/>
      <c r="C95" s="97" t="str">
        <f t="shared" si="8"/>
        <v/>
      </c>
      <c r="D95" s="77"/>
      <c r="E95" s="95">
        <f t="shared" si="9"/>
        <v>0</v>
      </c>
      <c r="F95" s="96">
        <f t="shared" ca="1" si="10"/>
        <v>46211</v>
      </c>
      <c r="G95" s="77"/>
      <c r="H95" s="98">
        <f t="shared" si="11"/>
        <v>7</v>
      </c>
      <c r="I95" s="77"/>
      <c r="J95" s="77"/>
    </row>
    <row r="96" spans="1:10" ht="15" customHeight="1" x14ac:dyDescent="0.25">
      <c r="A96" s="77"/>
      <c r="B96" s="77"/>
      <c r="C96" s="97" t="str">
        <f t="shared" si="8"/>
        <v/>
      </c>
      <c r="D96" s="77"/>
      <c r="E96" s="95">
        <f t="shared" si="9"/>
        <v>0</v>
      </c>
      <c r="F96" s="96">
        <f t="shared" ca="1" si="10"/>
        <v>46211</v>
      </c>
      <c r="G96" s="77"/>
      <c r="H96" s="98">
        <f t="shared" si="11"/>
        <v>7</v>
      </c>
      <c r="I96" s="77"/>
      <c r="J96" s="77"/>
    </row>
    <row r="97" spans="1:10" ht="15" customHeight="1" x14ac:dyDescent="0.25">
      <c r="A97" s="77"/>
      <c r="B97" s="77"/>
      <c r="C97" s="97" t="str">
        <f t="shared" si="8"/>
        <v/>
      </c>
      <c r="D97" s="77"/>
      <c r="E97" s="95">
        <f t="shared" si="9"/>
        <v>0</v>
      </c>
      <c r="F97" s="96">
        <f t="shared" ca="1" si="10"/>
        <v>46211</v>
      </c>
      <c r="G97" s="77"/>
      <c r="H97" s="98">
        <f t="shared" si="11"/>
        <v>7</v>
      </c>
      <c r="I97" s="77"/>
      <c r="J97" s="77"/>
    </row>
    <row r="98" spans="1:10" ht="15" customHeight="1" x14ac:dyDescent="0.25">
      <c r="A98" s="77"/>
      <c r="B98" s="77"/>
      <c r="C98" s="97" t="str">
        <f t="shared" si="8"/>
        <v/>
      </c>
      <c r="D98" s="77"/>
      <c r="E98" s="95">
        <f t="shared" si="9"/>
        <v>0</v>
      </c>
      <c r="F98" s="96">
        <f t="shared" ca="1" si="10"/>
        <v>46211</v>
      </c>
      <c r="G98" s="77"/>
      <c r="H98" s="98">
        <f t="shared" si="11"/>
        <v>7</v>
      </c>
      <c r="I98" s="77"/>
      <c r="J98" s="77"/>
    </row>
    <row r="99" spans="1:10" ht="15" customHeight="1" x14ac:dyDescent="0.25">
      <c r="A99" s="77"/>
      <c r="B99" s="77"/>
      <c r="C99" s="97" t="str">
        <f t="shared" ref="C99:C102" si="12">IFERROR(VLOOKUP(B99,Projects_Table,2,FALSE()),"")</f>
        <v/>
      </c>
      <c r="D99" s="77"/>
      <c r="E99" s="95">
        <f t="shared" si="9"/>
        <v>0</v>
      </c>
      <c r="F99" s="96">
        <f t="shared" ca="1" si="10"/>
        <v>46211</v>
      </c>
      <c r="G99" s="77"/>
      <c r="H99" s="98">
        <f t="shared" ref="H99:H102" si="13">IFERROR(G99+7,"")</f>
        <v>7</v>
      </c>
      <c r="I99" s="77"/>
      <c r="J99" s="77"/>
    </row>
    <row r="100" spans="1:10" ht="15" customHeight="1" x14ac:dyDescent="0.25">
      <c r="A100" s="77"/>
      <c r="B100" s="77"/>
      <c r="C100" s="97" t="str">
        <f t="shared" si="12"/>
        <v/>
      </c>
      <c r="D100" s="77"/>
      <c r="E100" s="95">
        <f t="shared" si="9"/>
        <v>0</v>
      </c>
      <c r="F100" s="96">
        <f t="shared" ca="1" si="10"/>
        <v>46211</v>
      </c>
      <c r="G100" s="77"/>
      <c r="H100" s="98">
        <f t="shared" si="13"/>
        <v>7</v>
      </c>
      <c r="I100" s="77"/>
      <c r="J100" s="77"/>
    </row>
    <row r="101" spans="1:10" ht="15" customHeight="1" x14ac:dyDescent="0.25">
      <c r="A101" s="77"/>
      <c r="B101" s="77"/>
      <c r="C101" s="97" t="str">
        <f t="shared" si="12"/>
        <v/>
      </c>
      <c r="D101" s="77"/>
      <c r="E101" s="95">
        <f t="shared" si="9"/>
        <v>0</v>
      </c>
      <c r="F101" s="96">
        <f t="shared" ca="1" si="10"/>
        <v>46211</v>
      </c>
      <c r="G101" s="77"/>
      <c r="H101" s="98">
        <f t="shared" si="13"/>
        <v>7</v>
      </c>
      <c r="I101" s="77"/>
      <c r="J101" s="77"/>
    </row>
    <row r="102" spans="1:10" ht="15" customHeight="1" x14ac:dyDescent="0.25">
      <c r="A102" s="77"/>
      <c r="B102" s="77"/>
      <c r="C102" s="97" t="str">
        <f t="shared" si="12"/>
        <v/>
      </c>
      <c r="D102" s="77"/>
      <c r="E102" s="95">
        <f t="shared" si="9"/>
        <v>0</v>
      </c>
      <c r="F102" s="96">
        <f t="shared" ca="1" si="10"/>
        <v>46211</v>
      </c>
      <c r="G102" s="77"/>
      <c r="H102" s="98">
        <f t="shared" si="13"/>
        <v>7</v>
      </c>
      <c r="I102" s="77"/>
      <c r="J102" s="77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J1"/>
  </mergeCells>
  <conditionalFormatting sqref="F3:F102">
    <cfRule type="expression" dxfId="78" priority="6">
      <formula>AND(ISNUMBER($F3),$F3&gt;14,$J3="Pending")</formula>
    </cfRule>
  </conditionalFormatting>
  <conditionalFormatting sqref="H3:H102">
    <cfRule type="expression" dxfId="77" priority="2">
      <formula>AND(ISNUMBER($H3),$H3&lt;TODAY(),$J3="Pending")</formula>
    </cfRule>
  </conditionalFormatting>
  <conditionalFormatting sqref="J3:J102">
    <cfRule type="expression" dxfId="76" priority="3">
      <formula>$J3="Accepted"</formula>
    </cfRule>
    <cfRule type="expression" dxfId="75" priority="4">
      <formula>$J3="Declined"</formula>
    </cfRule>
    <cfRule type="expression" dxfId="74" priority="5">
      <formula>$J3="Cold"</formula>
    </cfRule>
  </conditionalFormatting>
  <dataValidations count="1">
    <dataValidation type="list" allowBlank="1" sqref="J3:J102" xr:uid="{00000000-0002-0000-0400-000000000000}">
      <formula1>"Pending,Following Up,Accepted,Declined,Cold,Won but delayed"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48235"/>
  </sheetPr>
  <dimension ref="A1:T102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x14ac:dyDescent="0.25"/>
  <cols>
    <col min="1" max="1" width="12" customWidth="1"/>
    <col min="2" max="2" width="22" customWidth="1"/>
    <col min="3" max="3" width="24" customWidth="1"/>
    <col min="4" max="4" width="14" customWidth="1"/>
    <col min="5" max="5" width="18" customWidth="1"/>
    <col min="6" max="6" width="12" customWidth="1"/>
    <col min="7" max="7" width="14" customWidth="1"/>
    <col min="8" max="8" width="22" customWidth="1"/>
    <col min="9" max="9" width="12.5703125" customWidth="1"/>
    <col min="10" max="10" width="13.5703125" customWidth="1"/>
    <col min="11" max="12" width="12.85546875" customWidth="1"/>
    <col min="13" max="14" width="16" customWidth="1"/>
    <col min="15" max="15" width="14" customWidth="1"/>
    <col min="16" max="16" width="10" customWidth="1"/>
    <col min="17" max="17" width="18" customWidth="1"/>
    <col min="18" max="18" width="16" customWidth="1"/>
    <col min="19" max="19" width="12" customWidth="1"/>
    <col min="20" max="20" width="30" customWidth="1"/>
  </cols>
  <sheetData>
    <row r="1" spans="1:20" ht="30" customHeight="1" x14ac:dyDescent="0.25">
      <c r="A1" s="71" t="s">
        <v>332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27.75" customHeight="1" x14ac:dyDescent="0.25">
      <c r="A2" s="63" t="s">
        <v>20</v>
      </c>
      <c r="B2" s="63" t="s">
        <v>19</v>
      </c>
      <c r="C2" s="63" t="s">
        <v>333</v>
      </c>
      <c r="D2" s="63" t="s">
        <v>334</v>
      </c>
      <c r="E2" s="63" t="s">
        <v>23</v>
      </c>
      <c r="F2" s="63" t="s">
        <v>335</v>
      </c>
      <c r="G2" s="63" t="s">
        <v>336</v>
      </c>
      <c r="H2" s="63" t="s">
        <v>337</v>
      </c>
      <c r="I2" s="63" t="s">
        <v>338</v>
      </c>
      <c r="J2" s="63" t="s">
        <v>339</v>
      </c>
      <c r="K2" s="63" t="s">
        <v>340</v>
      </c>
      <c r="L2" s="63" t="s">
        <v>341</v>
      </c>
      <c r="M2" s="63" t="s">
        <v>342</v>
      </c>
      <c r="N2" s="63" t="s">
        <v>343</v>
      </c>
      <c r="O2" s="63" t="s">
        <v>344</v>
      </c>
      <c r="P2" s="63" t="s">
        <v>345</v>
      </c>
      <c r="Q2" s="63" t="s">
        <v>346</v>
      </c>
      <c r="R2" s="63" t="s">
        <v>347</v>
      </c>
      <c r="S2" s="63" t="s">
        <v>348</v>
      </c>
      <c r="T2" s="63" t="s">
        <v>226</v>
      </c>
    </row>
    <row r="3" spans="1:20" ht="26.25" customHeight="1" x14ac:dyDescent="0.25">
      <c r="A3" s="99" t="s">
        <v>312</v>
      </c>
      <c r="B3" s="93" t="s">
        <v>349</v>
      </c>
      <c r="C3" s="93" t="s">
        <v>350</v>
      </c>
      <c r="D3" s="93" t="s">
        <v>37</v>
      </c>
      <c r="E3" s="93" t="s">
        <v>351</v>
      </c>
      <c r="F3" s="93" t="s">
        <v>352</v>
      </c>
      <c r="G3" s="93" t="s">
        <v>317</v>
      </c>
      <c r="H3" s="93" t="s">
        <v>353</v>
      </c>
      <c r="I3" s="94">
        <v>46093</v>
      </c>
      <c r="J3" s="94">
        <v>46138</v>
      </c>
      <c r="K3" s="94">
        <v>46143</v>
      </c>
      <c r="L3" s="94">
        <v>46145</v>
      </c>
      <c r="M3" s="100">
        <v>18500</v>
      </c>
      <c r="N3" s="100">
        <v>12400</v>
      </c>
      <c r="O3" s="104">
        <f t="shared" ref="O3:O34" si="0">IF(M3="","",M3-N3)</f>
        <v>6100</v>
      </c>
      <c r="P3" s="105">
        <f t="shared" ref="P3:P34" si="1">IFERROR(O3/M3,0)</f>
        <v>0.32972972972972975</v>
      </c>
      <c r="Q3" s="100">
        <v>7400</v>
      </c>
      <c r="R3" s="104">
        <f t="shared" ref="R3:R34" si="2">IF(M3="","",M3-Q3)</f>
        <v>11100</v>
      </c>
      <c r="S3" s="102">
        <v>0.55000000000000004</v>
      </c>
      <c r="T3" s="76"/>
    </row>
    <row r="4" spans="1:20" ht="26.25" customHeight="1" x14ac:dyDescent="0.25">
      <c r="A4" s="99" t="s">
        <v>316</v>
      </c>
      <c r="B4" s="93" t="s">
        <v>354</v>
      </c>
      <c r="C4" s="93" t="s">
        <v>355</v>
      </c>
      <c r="D4" s="93" t="s">
        <v>237</v>
      </c>
      <c r="E4" s="93" t="s">
        <v>356</v>
      </c>
      <c r="F4" s="93" t="s">
        <v>357</v>
      </c>
      <c r="G4" s="93" t="s">
        <v>317</v>
      </c>
      <c r="H4" s="93" t="s">
        <v>358</v>
      </c>
      <c r="I4" s="94">
        <v>46108</v>
      </c>
      <c r="J4" s="94">
        <v>46148</v>
      </c>
      <c r="K4" s="94">
        <v>46153</v>
      </c>
      <c r="L4" s="94">
        <v>46155</v>
      </c>
      <c r="M4" s="100">
        <v>6800</v>
      </c>
      <c r="N4" s="100">
        <v>4200</v>
      </c>
      <c r="O4" s="104">
        <f t="shared" si="0"/>
        <v>2600</v>
      </c>
      <c r="P4" s="105">
        <f t="shared" si="1"/>
        <v>0.38235294117647056</v>
      </c>
      <c r="Q4" s="100">
        <v>2720</v>
      </c>
      <c r="R4" s="104">
        <f t="shared" si="2"/>
        <v>4080</v>
      </c>
      <c r="S4" s="102">
        <v>0.15</v>
      </c>
      <c r="T4" s="76"/>
    </row>
    <row r="5" spans="1:20" ht="26.25" customHeight="1" x14ac:dyDescent="0.25">
      <c r="A5" s="99" t="s">
        <v>359</v>
      </c>
      <c r="B5" s="93" t="s">
        <v>360</v>
      </c>
      <c r="C5" s="93" t="s">
        <v>361</v>
      </c>
      <c r="D5" s="93" t="s">
        <v>259</v>
      </c>
      <c r="E5" s="93" t="s">
        <v>362</v>
      </c>
      <c r="F5" s="93" t="s">
        <v>357</v>
      </c>
      <c r="G5" s="93" t="s">
        <v>313</v>
      </c>
      <c r="H5" s="93" t="s">
        <v>353</v>
      </c>
      <c r="I5" s="94">
        <v>46068</v>
      </c>
      <c r="J5" s="94">
        <v>46108</v>
      </c>
      <c r="K5" s="94">
        <v>46108</v>
      </c>
      <c r="L5" s="94">
        <v>46110</v>
      </c>
      <c r="M5" s="100">
        <v>4200</v>
      </c>
      <c r="N5" s="100">
        <v>2800</v>
      </c>
      <c r="O5" s="104">
        <f t="shared" si="0"/>
        <v>1400</v>
      </c>
      <c r="P5" s="105">
        <f t="shared" si="1"/>
        <v>0.33333333333333331</v>
      </c>
      <c r="Q5" s="100">
        <v>4200</v>
      </c>
      <c r="R5" s="104">
        <f t="shared" si="2"/>
        <v>0</v>
      </c>
      <c r="S5" s="102">
        <v>1</v>
      </c>
      <c r="T5" s="76"/>
    </row>
    <row r="6" spans="1:20" ht="26.25" customHeight="1" x14ac:dyDescent="0.25">
      <c r="A6" s="99" t="s">
        <v>363</v>
      </c>
      <c r="B6" s="93" t="s">
        <v>364</v>
      </c>
      <c r="C6" s="93" t="s">
        <v>365</v>
      </c>
      <c r="D6" s="93" t="s">
        <v>366</v>
      </c>
      <c r="E6" s="93" t="s">
        <v>367</v>
      </c>
      <c r="F6" s="93" t="s">
        <v>368</v>
      </c>
      <c r="G6" s="93" t="s">
        <v>313</v>
      </c>
      <c r="H6" s="93" t="s">
        <v>369</v>
      </c>
      <c r="I6" s="94">
        <v>46053</v>
      </c>
      <c r="J6" s="94">
        <v>46093</v>
      </c>
      <c r="K6" s="94">
        <v>46093</v>
      </c>
      <c r="L6" s="94">
        <v>46095</v>
      </c>
      <c r="M6" s="100">
        <v>3800</v>
      </c>
      <c r="N6" s="100">
        <v>2400</v>
      </c>
      <c r="O6" s="104">
        <f t="shared" si="0"/>
        <v>1400</v>
      </c>
      <c r="P6" s="105">
        <f t="shared" si="1"/>
        <v>0.36842105263157893</v>
      </c>
      <c r="Q6" s="100">
        <v>3800</v>
      </c>
      <c r="R6" s="104">
        <f t="shared" si="2"/>
        <v>0</v>
      </c>
      <c r="S6" s="102">
        <v>1</v>
      </c>
      <c r="T6" s="76"/>
    </row>
    <row r="7" spans="1:20" ht="26.25" customHeight="1" x14ac:dyDescent="0.25">
      <c r="A7" s="99" t="s">
        <v>319</v>
      </c>
      <c r="B7" s="93" t="s">
        <v>370</v>
      </c>
      <c r="C7" s="93" t="s">
        <v>371</v>
      </c>
      <c r="D7" s="93" t="s">
        <v>243</v>
      </c>
      <c r="E7" s="93" t="s">
        <v>127</v>
      </c>
      <c r="F7" s="93" t="s">
        <v>368</v>
      </c>
      <c r="G7" s="93" t="s">
        <v>317</v>
      </c>
      <c r="H7" s="93" t="s">
        <v>372</v>
      </c>
      <c r="I7" s="94">
        <v>46123</v>
      </c>
      <c r="J7" s="94">
        <v>46173</v>
      </c>
      <c r="K7" s="94">
        <v>46178</v>
      </c>
      <c r="L7" s="94">
        <v>46180</v>
      </c>
      <c r="M7" s="100">
        <v>4500</v>
      </c>
      <c r="N7" s="100">
        <v>2900</v>
      </c>
      <c r="O7" s="104">
        <f t="shared" si="0"/>
        <v>1600</v>
      </c>
      <c r="P7" s="105">
        <f t="shared" si="1"/>
        <v>0.35555555555555557</v>
      </c>
      <c r="Q7" s="100">
        <v>0</v>
      </c>
      <c r="R7" s="104">
        <f t="shared" si="2"/>
        <v>4500</v>
      </c>
      <c r="S7" s="102">
        <v>0</v>
      </c>
      <c r="T7" s="76"/>
    </row>
    <row r="8" spans="1:20" ht="26.25" customHeight="1" x14ac:dyDescent="0.25">
      <c r="A8" s="99" t="s">
        <v>373</v>
      </c>
      <c r="B8" s="93" t="s">
        <v>374</v>
      </c>
      <c r="C8" s="93" t="s">
        <v>375</v>
      </c>
      <c r="D8" s="93" t="s">
        <v>37</v>
      </c>
      <c r="E8" s="93" t="s">
        <v>376</v>
      </c>
      <c r="F8" s="93" t="s">
        <v>377</v>
      </c>
      <c r="G8" s="93" t="s">
        <v>317</v>
      </c>
      <c r="H8" s="93" t="s">
        <v>353</v>
      </c>
      <c r="I8" s="94">
        <v>46083</v>
      </c>
      <c r="J8" s="94">
        <v>46118</v>
      </c>
      <c r="K8" s="94">
        <v>46118</v>
      </c>
      <c r="L8" s="94">
        <v>46119</v>
      </c>
      <c r="M8" s="100">
        <v>22500</v>
      </c>
      <c r="N8" s="100">
        <v>14800</v>
      </c>
      <c r="O8" s="104">
        <f t="shared" si="0"/>
        <v>7700</v>
      </c>
      <c r="P8" s="105">
        <f t="shared" si="1"/>
        <v>0.34222222222222221</v>
      </c>
      <c r="Q8" s="100">
        <v>9000</v>
      </c>
      <c r="R8" s="104">
        <f t="shared" si="2"/>
        <v>13500</v>
      </c>
      <c r="S8" s="102">
        <v>0.78</v>
      </c>
      <c r="T8" s="76"/>
    </row>
    <row r="9" spans="1:20" ht="26.25" customHeight="1" x14ac:dyDescent="0.25">
      <c r="A9" s="99" t="s">
        <v>322</v>
      </c>
      <c r="B9" s="93" t="s">
        <v>378</v>
      </c>
      <c r="C9" s="93" t="s">
        <v>379</v>
      </c>
      <c r="D9" s="93" t="s">
        <v>249</v>
      </c>
      <c r="E9" s="93" t="s">
        <v>351</v>
      </c>
      <c r="F9" s="93" t="s">
        <v>357</v>
      </c>
      <c r="G9" s="93" t="s">
        <v>313</v>
      </c>
      <c r="H9" s="93" t="s">
        <v>358</v>
      </c>
      <c r="I9" s="94">
        <v>46098</v>
      </c>
      <c r="J9" s="94">
        <v>46133</v>
      </c>
      <c r="K9" s="94">
        <v>46138</v>
      </c>
      <c r="L9" s="94">
        <v>46140</v>
      </c>
      <c r="M9" s="100">
        <v>9200</v>
      </c>
      <c r="N9" s="100">
        <v>6100</v>
      </c>
      <c r="O9" s="104">
        <f t="shared" si="0"/>
        <v>3100</v>
      </c>
      <c r="P9" s="105">
        <f t="shared" si="1"/>
        <v>0.33695652173913043</v>
      </c>
      <c r="Q9" s="100">
        <v>3680</v>
      </c>
      <c r="R9" s="104">
        <f t="shared" si="2"/>
        <v>5520</v>
      </c>
      <c r="S9" s="102">
        <v>0.4</v>
      </c>
      <c r="T9" s="76"/>
    </row>
    <row r="10" spans="1:20" ht="26.25" customHeight="1" x14ac:dyDescent="0.25">
      <c r="A10" s="99" t="s">
        <v>324</v>
      </c>
      <c r="B10" s="93" t="s">
        <v>380</v>
      </c>
      <c r="C10" s="93" t="s">
        <v>381</v>
      </c>
      <c r="D10" s="93" t="s">
        <v>237</v>
      </c>
      <c r="E10" s="93" t="s">
        <v>382</v>
      </c>
      <c r="F10" s="93" t="s">
        <v>352</v>
      </c>
      <c r="G10" s="93" t="s">
        <v>317</v>
      </c>
      <c r="H10" s="93" t="s">
        <v>353</v>
      </c>
      <c r="I10" s="94">
        <v>46115</v>
      </c>
      <c r="J10" s="94">
        <v>46158</v>
      </c>
      <c r="K10" s="94">
        <v>46163</v>
      </c>
      <c r="L10" s="94">
        <v>46165</v>
      </c>
      <c r="M10" s="100">
        <v>11400</v>
      </c>
      <c r="N10" s="100">
        <v>7500</v>
      </c>
      <c r="O10" s="104">
        <f t="shared" si="0"/>
        <v>3900</v>
      </c>
      <c r="P10" s="105">
        <f t="shared" si="1"/>
        <v>0.34210526315789475</v>
      </c>
      <c r="Q10" s="100">
        <v>4560</v>
      </c>
      <c r="R10" s="104">
        <f t="shared" si="2"/>
        <v>6840</v>
      </c>
      <c r="S10" s="102">
        <v>0.1</v>
      </c>
      <c r="T10" s="76"/>
    </row>
    <row r="11" spans="1:20" ht="26.25" customHeight="1" x14ac:dyDescent="0.25">
      <c r="A11" s="99" t="s">
        <v>326</v>
      </c>
      <c r="B11" s="93" t="s">
        <v>383</v>
      </c>
      <c r="C11" s="93" t="s">
        <v>384</v>
      </c>
      <c r="D11" s="93" t="s">
        <v>37</v>
      </c>
      <c r="E11" s="93" t="s">
        <v>356</v>
      </c>
      <c r="F11" s="93" t="s">
        <v>352</v>
      </c>
      <c r="G11" s="93" t="s">
        <v>317</v>
      </c>
      <c r="H11" s="93" t="s">
        <v>358</v>
      </c>
      <c r="I11" s="94">
        <v>46118</v>
      </c>
      <c r="J11" s="94">
        <v>46163</v>
      </c>
      <c r="K11" s="94">
        <v>46168</v>
      </c>
      <c r="L11" s="94">
        <v>46170</v>
      </c>
      <c r="M11" s="100">
        <v>16800</v>
      </c>
      <c r="N11" s="100">
        <v>11200</v>
      </c>
      <c r="O11" s="104">
        <f t="shared" si="0"/>
        <v>5600</v>
      </c>
      <c r="P11" s="105">
        <f t="shared" si="1"/>
        <v>0.33333333333333331</v>
      </c>
      <c r="Q11" s="100">
        <v>6720</v>
      </c>
      <c r="R11" s="104">
        <f t="shared" si="2"/>
        <v>10080</v>
      </c>
      <c r="S11" s="102">
        <v>0.05</v>
      </c>
      <c r="T11" s="76"/>
    </row>
    <row r="12" spans="1:20" ht="26.25" customHeight="1" x14ac:dyDescent="0.25">
      <c r="A12" s="99" t="s">
        <v>385</v>
      </c>
      <c r="B12" s="93" t="s">
        <v>386</v>
      </c>
      <c r="C12" s="93" t="s">
        <v>387</v>
      </c>
      <c r="D12" s="93" t="s">
        <v>249</v>
      </c>
      <c r="E12" s="93" t="s">
        <v>362</v>
      </c>
      <c r="F12" s="93" t="s">
        <v>368</v>
      </c>
      <c r="G12" s="93" t="s">
        <v>313</v>
      </c>
      <c r="H12" s="93" t="s">
        <v>353</v>
      </c>
      <c r="I12" s="94">
        <v>46083</v>
      </c>
      <c r="J12" s="94">
        <v>46105</v>
      </c>
      <c r="K12" s="94">
        <v>46105</v>
      </c>
      <c r="L12" s="94">
        <v>46107</v>
      </c>
      <c r="M12" s="100">
        <v>2800</v>
      </c>
      <c r="N12" s="100">
        <v>1700</v>
      </c>
      <c r="O12" s="104">
        <f t="shared" si="0"/>
        <v>1100</v>
      </c>
      <c r="P12" s="105">
        <f t="shared" si="1"/>
        <v>0.39285714285714285</v>
      </c>
      <c r="Q12" s="100">
        <v>2800</v>
      </c>
      <c r="R12" s="104">
        <f t="shared" si="2"/>
        <v>0</v>
      </c>
      <c r="S12" s="102">
        <v>1</v>
      </c>
      <c r="T12" s="76"/>
    </row>
    <row r="13" spans="1:20" ht="26.25" customHeight="1" x14ac:dyDescent="0.25">
      <c r="A13" s="99" t="s">
        <v>330</v>
      </c>
      <c r="B13" s="93" t="s">
        <v>388</v>
      </c>
      <c r="C13" s="93" t="s">
        <v>389</v>
      </c>
      <c r="D13" s="93" t="s">
        <v>51</v>
      </c>
      <c r="E13" s="93" t="s">
        <v>390</v>
      </c>
      <c r="F13" s="93" t="s">
        <v>352</v>
      </c>
      <c r="G13" s="93" t="s">
        <v>317</v>
      </c>
      <c r="H13" s="93" t="s">
        <v>372</v>
      </c>
      <c r="I13" s="94">
        <v>46073</v>
      </c>
      <c r="J13" s="94">
        <v>46110</v>
      </c>
      <c r="K13" s="94">
        <v>46110</v>
      </c>
      <c r="L13" s="94">
        <v>46112</v>
      </c>
      <c r="M13" s="100">
        <v>5600</v>
      </c>
      <c r="N13" s="100">
        <v>3800</v>
      </c>
      <c r="O13" s="104">
        <f t="shared" si="0"/>
        <v>1800</v>
      </c>
      <c r="P13" s="105">
        <f t="shared" si="1"/>
        <v>0.32142857142857145</v>
      </c>
      <c r="Q13" s="100">
        <v>2240</v>
      </c>
      <c r="R13" s="104">
        <f t="shared" si="2"/>
        <v>3360</v>
      </c>
      <c r="S13" s="102">
        <v>0.6</v>
      </c>
      <c r="T13" s="76"/>
    </row>
    <row r="14" spans="1:20" ht="26.25" customHeight="1" x14ac:dyDescent="0.25">
      <c r="A14" s="99" t="s">
        <v>328</v>
      </c>
      <c r="B14" s="93" t="s">
        <v>391</v>
      </c>
      <c r="C14" s="93" t="s">
        <v>392</v>
      </c>
      <c r="D14" s="93" t="s">
        <v>37</v>
      </c>
      <c r="E14" s="93" t="inlineStr">
        <is>
          <t>Completed</t>
        </is>
      </c>
      <c r="F14" s="93" t="s">
        <v>357</v>
      </c>
      <c r="G14" s="93" t="s">
        <v>317</v>
      </c>
      <c r="H14" s="93" t="s">
        <v>353</v>
      </c>
      <c r="I14" s="94">
        <v>46116</v>
      </c>
      <c r="J14" s="94">
        <v>46183</v>
      </c>
      <c r="K14" s="94">
        <v>46188</v>
      </c>
      <c r="L14" s="94">
        <v>46190</v>
      </c>
      <c r="M14" s="100">
        <v>28500</v>
      </c>
      <c r="N14" s="100">
        <v>19200</v>
      </c>
      <c r="O14" s="104">
        <f t="shared" si="0"/>
        <v>9300</v>
      </c>
      <c r="P14" s="105">
        <f t="shared" si="1"/>
        <v>0.32631578947368423</v>
      </c>
      <c r="Q14" s="100">
        <v>0</v>
      </c>
      <c r="R14" s="104">
        <f t="shared" si="2"/>
        <v>28500</v>
      </c>
      <c r="S14" s="102">
        <v>0</v>
      </c>
      <c r="T14" s="76"/>
    </row>
    <row r="15" spans="1:20" ht="15" customHeight="1" x14ac:dyDescent="0.25">
      <c r="A15" s="77"/>
      <c r="B15" s="77"/>
      <c r="C15" s="77"/>
      <c r="D15" s="77"/>
      <c r="E15" s="77"/>
      <c r="F15" s="77"/>
      <c r="G15" s="77"/>
      <c r="H15" s="77"/>
      <c r="I15" s="103"/>
      <c r="J15" s="103"/>
      <c r="K15" s="103"/>
      <c r="L15" s="103"/>
      <c r="M15" s="77"/>
      <c r="N15" s="77"/>
      <c r="O15" s="104" t="str">
        <f t="shared" si="0"/>
        <v/>
      </c>
      <c r="P15" s="105">
        <f t="shared" si="1"/>
        <v>0</v>
      </c>
      <c r="Q15" s="77"/>
      <c r="R15" s="104" t="str">
        <f t="shared" si="2"/>
        <v/>
      </c>
      <c r="S15" s="77"/>
      <c r="T15" s="76"/>
    </row>
    <row r="16" spans="1:20" ht="15" customHeight="1" x14ac:dyDescent="0.25">
      <c r="A16" s="77"/>
      <c r="B16" s="77"/>
      <c r="C16" s="77"/>
      <c r="D16" s="77"/>
      <c r="E16" s="77"/>
      <c r="F16" s="77"/>
      <c r="G16" s="77"/>
      <c r="H16" s="77"/>
      <c r="I16" s="103"/>
      <c r="J16" s="103"/>
      <c r="K16" s="103"/>
      <c r="L16" s="103"/>
      <c r="M16" s="77"/>
      <c r="N16" s="77"/>
      <c r="O16" s="104" t="str">
        <f t="shared" si="0"/>
        <v/>
      </c>
      <c r="P16" s="105">
        <f t="shared" si="1"/>
        <v>0</v>
      </c>
      <c r="Q16" s="77"/>
      <c r="R16" s="104" t="str">
        <f t="shared" si="2"/>
        <v/>
      </c>
      <c r="S16" s="77"/>
      <c r="T16" s="76"/>
    </row>
    <row r="17" spans="1:20" ht="15" customHeight="1" x14ac:dyDescent="0.25">
      <c r="A17" s="77"/>
      <c r="B17" s="77"/>
      <c r="C17" s="77"/>
      <c r="D17" s="77"/>
      <c r="E17" s="77"/>
      <c r="F17" s="77"/>
      <c r="G17" s="77"/>
      <c r="H17" s="77"/>
      <c r="I17" s="103"/>
      <c r="J17" s="103"/>
      <c r="K17" s="103"/>
      <c r="L17" s="103"/>
      <c r="M17" s="77"/>
      <c r="N17" s="77"/>
      <c r="O17" s="104" t="str">
        <f t="shared" si="0"/>
        <v/>
      </c>
      <c r="P17" s="105">
        <f t="shared" si="1"/>
        <v>0</v>
      </c>
      <c r="Q17" s="77"/>
      <c r="R17" s="104" t="str">
        <f t="shared" si="2"/>
        <v/>
      </c>
      <c r="S17" s="77"/>
      <c r="T17" s="76"/>
    </row>
    <row r="18" spans="1:20" ht="15" customHeight="1" x14ac:dyDescent="0.25">
      <c r="A18" s="77"/>
      <c r="B18" s="77"/>
      <c r="C18" s="77"/>
      <c r="D18" s="77"/>
      <c r="E18" s="77"/>
      <c r="F18" s="77"/>
      <c r="G18" s="77"/>
      <c r="H18" s="77"/>
      <c r="I18" s="103"/>
      <c r="J18" s="103"/>
      <c r="K18" s="103"/>
      <c r="L18" s="103"/>
      <c r="M18" s="77"/>
      <c r="N18" s="77"/>
      <c r="O18" s="104" t="str">
        <f t="shared" si="0"/>
        <v/>
      </c>
      <c r="P18" s="105">
        <f t="shared" si="1"/>
        <v>0</v>
      </c>
      <c r="Q18" s="77"/>
      <c r="R18" s="104" t="str">
        <f t="shared" si="2"/>
        <v/>
      </c>
      <c r="S18" s="77"/>
      <c r="T18" s="76"/>
    </row>
    <row r="19" spans="1:20" ht="15" customHeight="1" x14ac:dyDescent="0.25">
      <c r="A19" s="77"/>
      <c r="B19" s="77"/>
      <c r="C19" s="77"/>
      <c r="D19" s="77"/>
      <c r="E19" s="77"/>
      <c r="F19" s="77"/>
      <c r="G19" s="77"/>
      <c r="H19" s="77"/>
      <c r="I19" s="103"/>
      <c r="J19" s="103"/>
      <c r="K19" s="103"/>
      <c r="L19" s="103"/>
      <c r="M19" s="77"/>
      <c r="N19" s="77"/>
      <c r="O19" s="104" t="str">
        <f t="shared" si="0"/>
        <v/>
      </c>
      <c r="P19" s="105">
        <f t="shared" si="1"/>
        <v>0</v>
      </c>
      <c r="Q19" s="77"/>
      <c r="R19" s="104" t="str">
        <f t="shared" si="2"/>
        <v/>
      </c>
      <c r="S19" s="77"/>
      <c r="T19" s="76"/>
    </row>
    <row r="20" spans="1:20" ht="15" customHeight="1" x14ac:dyDescent="0.25">
      <c r="A20" s="77"/>
      <c r="B20" s="77"/>
      <c r="C20" s="77"/>
      <c r="D20" s="77"/>
      <c r="E20" s="77"/>
      <c r="F20" s="77"/>
      <c r="G20" s="77"/>
      <c r="H20" s="77"/>
      <c r="I20" s="103"/>
      <c r="J20" s="103"/>
      <c r="K20" s="103"/>
      <c r="L20" s="103"/>
      <c r="M20" s="77"/>
      <c r="N20" s="77"/>
      <c r="O20" s="104" t="str">
        <f t="shared" si="0"/>
        <v/>
      </c>
      <c r="P20" s="105">
        <f t="shared" si="1"/>
        <v>0</v>
      </c>
      <c r="Q20" s="77"/>
      <c r="R20" s="104" t="str">
        <f t="shared" si="2"/>
        <v/>
      </c>
      <c r="S20" s="77"/>
      <c r="T20" s="76"/>
    </row>
    <row r="21" spans="1:20" ht="15" customHeight="1" x14ac:dyDescent="0.25">
      <c r="A21" s="77"/>
      <c r="B21" s="77"/>
      <c r="C21" s="77"/>
      <c r="D21" s="77"/>
      <c r="E21" s="77"/>
      <c r="F21" s="77"/>
      <c r="G21" s="77"/>
      <c r="H21" s="77"/>
      <c r="I21" s="103"/>
      <c r="J21" s="103"/>
      <c r="K21" s="103"/>
      <c r="L21" s="103"/>
      <c r="M21" s="77"/>
      <c r="N21" s="77"/>
      <c r="O21" s="104" t="str">
        <f t="shared" si="0"/>
        <v/>
      </c>
      <c r="P21" s="105">
        <f t="shared" si="1"/>
        <v>0</v>
      </c>
      <c r="Q21" s="77"/>
      <c r="R21" s="104" t="str">
        <f t="shared" si="2"/>
        <v/>
      </c>
      <c r="S21" s="77"/>
      <c r="T21" s="76"/>
    </row>
    <row r="22" spans="1:20" ht="15" customHeight="1" x14ac:dyDescent="0.25">
      <c r="A22" s="77"/>
      <c r="B22" s="77"/>
      <c r="C22" s="77"/>
      <c r="D22" s="77"/>
      <c r="E22" s="77"/>
      <c r="F22" s="77"/>
      <c r="G22" s="77"/>
      <c r="H22" s="77"/>
      <c r="I22" s="103"/>
      <c r="J22" s="103"/>
      <c r="K22" s="103"/>
      <c r="L22" s="103"/>
      <c r="M22" s="77"/>
      <c r="N22" s="77"/>
      <c r="O22" s="104" t="str">
        <f t="shared" si="0"/>
        <v/>
      </c>
      <c r="P22" s="105">
        <f t="shared" si="1"/>
        <v>0</v>
      </c>
      <c r="Q22" s="77"/>
      <c r="R22" s="104" t="str">
        <f t="shared" si="2"/>
        <v/>
      </c>
      <c r="S22" s="77"/>
      <c r="T22" s="76"/>
    </row>
    <row r="23" spans="1:20" ht="15" customHeight="1" x14ac:dyDescent="0.25">
      <c r="A23" s="77"/>
      <c r="B23" s="77"/>
      <c r="C23" s="77"/>
      <c r="D23" s="77"/>
      <c r="E23" s="77"/>
      <c r="F23" s="77"/>
      <c r="G23" s="77"/>
      <c r="H23" s="77"/>
      <c r="I23" s="103"/>
      <c r="J23" s="103"/>
      <c r="K23" s="103"/>
      <c r="L23" s="103"/>
      <c r="M23" s="77"/>
      <c r="N23" s="77"/>
      <c r="O23" s="104" t="str">
        <f t="shared" si="0"/>
        <v/>
      </c>
      <c r="P23" s="105">
        <f t="shared" si="1"/>
        <v>0</v>
      </c>
      <c r="Q23" s="77"/>
      <c r="R23" s="104" t="str">
        <f t="shared" si="2"/>
        <v/>
      </c>
      <c r="S23" s="77"/>
      <c r="T23" s="76"/>
    </row>
    <row r="24" spans="1:20" ht="15" customHeight="1" x14ac:dyDescent="0.25">
      <c r="A24" s="77"/>
      <c r="B24" s="77"/>
      <c r="C24" s="77"/>
      <c r="D24" s="77"/>
      <c r="E24" s="77"/>
      <c r="F24" s="77"/>
      <c r="G24" s="77"/>
      <c r="H24" s="77"/>
      <c r="I24" s="103"/>
      <c r="J24" s="103"/>
      <c r="K24" s="103"/>
      <c r="L24" s="103"/>
      <c r="M24" s="77"/>
      <c r="N24" s="77"/>
      <c r="O24" s="104" t="str">
        <f t="shared" si="0"/>
        <v/>
      </c>
      <c r="P24" s="105">
        <f t="shared" si="1"/>
        <v>0</v>
      </c>
      <c r="Q24" s="77"/>
      <c r="R24" s="104" t="str">
        <f t="shared" si="2"/>
        <v/>
      </c>
      <c r="S24" s="77"/>
      <c r="T24" s="76"/>
    </row>
    <row r="25" spans="1:20" ht="15" customHeight="1" x14ac:dyDescent="0.25">
      <c r="A25" s="77"/>
      <c r="B25" s="77"/>
      <c r="C25" s="77"/>
      <c r="D25" s="77"/>
      <c r="E25" s="77"/>
      <c r="F25" s="77"/>
      <c r="G25" s="77"/>
      <c r="H25" s="77"/>
      <c r="I25" s="103"/>
      <c r="J25" s="103"/>
      <c r="K25" s="103"/>
      <c r="L25" s="103"/>
      <c r="M25" s="77"/>
      <c r="N25" s="77"/>
      <c r="O25" s="104" t="str">
        <f t="shared" si="0"/>
        <v/>
      </c>
      <c r="P25" s="105">
        <f t="shared" si="1"/>
        <v>0</v>
      </c>
      <c r="Q25" s="77"/>
      <c r="R25" s="104" t="str">
        <f t="shared" si="2"/>
        <v/>
      </c>
      <c r="S25" s="77"/>
      <c r="T25" s="76"/>
    </row>
    <row r="26" spans="1:20" ht="15" customHeight="1" x14ac:dyDescent="0.25">
      <c r="A26" s="77"/>
      <c r="B26" s="77"/>
      <c r="C26" s="77"/>
      <c r="D26" s="77"/>
      <c r="E26" s="77"/>
      <c r="F26" s="77"/>
      <c r="G26" s="77"/>
      <c r="H26" s="77"/>
      <c r="I26" s="103"/>
      <c r="J26" s="103"/>
      <c r="K26" s="103"/>
      <c r="L26" s="103"/>
      <c r="M26" s="77"/>
      <c r="N26" s="77"/>
      <c r="O26" s="104" t="str">
        <f t="shared" si="0"/>
        <v/>
      </c>
      <c r="P26" s="105">
        <f t="shared" si="1"/>
        <v>0</v>
      </c>
      <c r="Q26" s="77"/>
      <c r="R26" s="104" t="str">
        <f t="shared" si="2"/>
        <v/>
      </c>
      <c r="S26" s="77"/>
      <c r="T26" s="76"/>
    </row>
    <row r="27" spans="1:20" ht="15" customHeight="1" x14ac:dyDescent="0.25">
      <c r="A27" s="77"/>
      <c r="B27" s="77"/>
      <c r="C27" s="77"/>
      <c r="D27" s="77"/>
      <c r="E27" s="77"/>
      <c r="F27" s="77"/>
      <c r="G27" s="77"/>
      <c r="H27" s="77"/>
      <c r="I27" s="103"/>
      <c r="J27" s="103"/>
      <c r="K27" s="103"/>
      <c r="L27" s="103"/>
      <c r="M27" s="77"/>
      <c r="N27" s="77"/>
      <c r="O27" s="104" t="str">
        <f t="shared" si="0"/>
        <v/>
      </c>
      <c r="P27" s="105">
        <f t="shared" si="1"/>
        <v>0</v>
      </c>
      <c r="Q27" s="77"/>
      <c r="R27" s="104" t="str">
        <f t="shared" si="2"/>
        <v/>
      </c>
      <c r="S27" s="77"/>
      <c r="T27" s="76"/>
    </row>
    <row r="28" spans="1:20" ht="15" customHeight="1" x14ac:dyDescent="0.25">
      <c r="A28" s="77"/>
      <c r="B28" s="77"/>
      <c r="C28" s="77"/>
      <c r="D28" s="77"/>
      <c r="E28" s="77"/>
      <c r="F28" s="77"/>
      <c r="G28" s="77"/>
      <c r="H28" s="77"/>
      <c r="I28" s="103"/>
      <c r="J28" s="103"/>
      <c r="K28" s="103"/>
      <c r="L28" s="103"/>
      <c r="M28" s="77"/>
      <c r="N28" s="77"/>
      <c r="O28" s="104" t="str">
        <f t="shared" si="0"/>
        <v/>
      </c>
      <c r="P28" s="105">
        <f t="shared" si="1"/>
        <v>0</v>
      </c>
      <c r="Q28" s="77"/>
      <c r="R28" s="104" t="str">
        <f t="shared" si="2"/>
        <v/>
      </c>
      <c r="S28" s="77"/>
      <c r="T28" s="76"/>
    </row>
    <row r="29" spans="1:20" ht="15" customHeight="1" x14ac:dyDescent="0.25">
      <c r="A29" s="77"/>
      <c r="B29" s="77"/>
      <c r="C29" s="77"/>
      <c r="D29" s="77"/>
      <c r="E29" s="77"/>
      <c r="F29" s="77"/>
      <c r="G29" s="77"/>
      <c r="H29" s="77"/>
      <c r="I29" s="103"/>
      <c r="J29" s="103"/>
      <c r="K29" s="103"/>
      <c r="L29" s="103"/>
      <c r="M29" s="77"/>
      <c r="N29" s="77"/>
      <c r="O29" s="104" t="str">
        <f t="shared" si="0"/>
        <v/>
      </c>
      <c r="P29" s="105">
        <f t="shared" si="1"/>
        <v>0</v>
      </c>
      <c r="Q29" s="77"/>
      <c r="R29" s="104" t="str">
        <f t="shared" si="2"/>
        <v/>
      </c>
      <c r="S29" s="77"/>
      <c r="T29" s="76"/>
    </row>
    <row r="30" spans="1:20" ht="15" customHeight="1" x14ac:dyDescent="0.25">
      <c r="A30" s="77"/>
      <c r="B30" s="77"/>
      <c r="C30" s="77"/>
      <c r="D30" s="77"/>
      <c r="E30" s="77"/>
      <c r="F30" s="77"/>
      <c r="G30" s="77"/>
      <c r="H30" s="77"/>
      <c r="I30" s="103"/>
      <c r="J30" s="103"/>
      <c r="K30" s="103"/>
      <c r="L30" s="103"/>
      <c r="M30" s="77"/>
      <c r="N30" s="77"/>
      <c r="O30" s="104" t="str">
        <f t="shared" si="0"/>
        <v/>
      </c>
      <c r="P30" s="105">
        <f t="shared" si="1"/>
        <v>0</v>
      </c>
      <c r="Q30" s="77"/>
      <c r="R30" s="104" t="str">
        <f t="shared" si="2"/>
        <v/>
      </c>
      <c r="S30" s="77"/>
      <c r="T30" s="76"/>
    </row>
    <row r="31" spans="1:20" ht="15" customHeight="1" x14ac:dyDescent="0.25">
      <c r="A31" s="77"/>
      <c r="B31" s="77"/>
      <c r="C31" s="77"/>
      <c r="D31" s="77"/>
      <c r="E31" s="77"/>
      <c r="F31" s="77"/>
      <c r="G31" s="77"/>
      <c r="H31" s="77"/>
      <c r="I31" s="103"/>
      <c r="J31" s="103"/>
      <c r="K31" s="103"/>
      <c r="L31" s="103"/>
      <c r="M31" s="77"/>
      <c r="N31" s="77"/>
      <c r="O31" s="104" t="str">
        <f t="shared" si="0"/>
        <v/>
      </c>
      <c r="P31" s="105">
        <f t="shared" si="1"/>
        <v>0</v>
      </c>
      <c r="Q31" s="77"/>
      <c r="R31" s="104" t="str">
        <f t="shared" si="2"/>
        <v/>
      </c>
      <c r="S31" s="77"/>
      <c r="T31" s="76"/>
    </row>
    <row r="32" spans="1:20" ht="15" customHeight="1" x14ac:dyDescent="0.25">
      <c r="A32" s="77"/>
      <c r="B32" s="77"/>
      <c r="C32" s="77"/>
      <c r="D32" s="77"/>
      <c r="E32" s="77"/>
      <c r="F32" s="77"/>
      <c r="G32" s="77"/>
      <c r="H32" s="77"/>
      <c r="I32" s="103"/>
      <c r="J32" s="103"/>
      <c r="K32" s="103"/>
      <c r="L32" s="103"/>
      <c r="M32" s="77"/>
      <c r="N32" s="77"/>
      <c r="O32" s="104" t="str">
        <f t="shared" si="0"/>
        <v/>
      </c>
      <c r="P32" s="105">
        <f t="shared" si="1"/>
        <v>0</v>
      </c>
      <c r="Q32" s="77"/>
      <c r="R32" s="104" t="str">
        <f t="shared" si="2"/>
        <v/>
      </c>
      <c r="S32" s="77"/>
      <c r="T32" s="76"/>
    </row>
    <row r="33" spans="1:20" ht="15" customHeight="1" x14ac:dyDescent="0.25">
      <c r="A33" s="77"/>
      <c r="B33" s="77"/>
      <c r="C33" s="77"/>
      <c r="D33" s="77"/>
      <c r="E33" s="77"/>
      <c r="F33" s="77"/>
      <c r="G33" s="77"/>
      <c r="H33" s="77"/>
      <c r="I33" s="103"/>
      <c r="J33" s="103"/>
      <c r="K33" s="103"/>
      <c r="L33" s="103"/>
      <c r="M33" s="77"/>
      <c r="N33" s="77"/>
      <c r="O33" s="104" t="str">
        <f t="shared" si="0"/>
        <v/>
      </c>
      <c r="P33" s="105">
        <f t="shared" si="1"/>
        <v>0</v>
      </c>
      <c r="Q33" s="77"/>
      <c r="R33" s="104" t="str">
        <f t="shared" si="2"/>
        <v/>
      </c>
      <c r="S33" s="77"/>
      <c r="T33" s="76"/>
    </row>
    <row r="34" spans="1:20" ht="15" customHeight="1" x14ac:dyDescent="0.25">
      <c r="A34" s="77"/>
      <c r="B34" s="77"/>
      <c r="C34" s="77"/>
      <c r="D34" s="77"/>
      <c r="E34" s="77"/>
      <c r="F34" s="77"/>
      <c r="G34" s="77"/>
      <c r="H34" s="77"/>
      <c r="I34" s="103"/>
      <c r="J34" s="103"/>
      <c r="K34" s="103"/>
      <c r="L34" s="103"/>
      <c r="M34" s="77"/>
      <c r="N34" s="77"/>
      <c r="O34" s="104" t="str">
        <f t="shared" si="0"/>
        <v/>
      </c>
      <c r="P34" s="105">
        <f t="shared" si="1"/>
        <v>0</v>
      </c>
      <c r="Q34" s="77"/>
      <c r="R34" s="104" t="str">
        <f t="shared" si="2"/>
        <v/>
      </c>
      <c r="S34" s="77"/>
      <c r="T34" s="76"/>
    </row>
    <row r="35" spans="1:20" ht="15" customHeight="1" x14ac:dyDescent="0.25">
      <c r="A35" s="77"/>
      <c r="B35" s="77"/>
      <c r="C35" s="77"/>
      <c r="D35" s="77"/>
      <c r="E35" s="77"/>
      <c r="F35" s="77"/>
      <c r="G35" s="77"/>
      <c r="H35" s="77"/>
      <c r="I35" s="103"/>
      <c r="J35" s="103"/>
      <c r="K35" s="103"/>
      <c r="L35" s="103"/>
      <c r="M35" s="77"/>
      <c r="N35" s="77"/>
      <c r="O35" s="104" t="str">
        <f t="shared" ref="O35:O66" si="3">IF(M35="","",M35-N35)</f>
        <v/>
      </c>
      <c r="P35" s="105">
        <f t="shared" ref="P35:P66" si="4">IFERROR(O35/M35,0)</f>
        <v>0</v>
      </c>
      <c r="Q35" s="77"/>
      <c r="R35" s="104" t="str">
        <f t="shared" ref="R35:R66" si="5">IF(M35="","",M35-Q35)</f>
        <v/>
      </c>
      <c r="S35" s="77"/>
      <c r="T35" s="76"/>
    </row>
    <row r="36" spans="1:20" ht="15" customHeight="1" x14ac:dyDescent="0.25">
      <c r="A36" s="77"/>
      <c r="B36" s="77"/>
      <c r="C36" s="77"/>
      <c r="D36" s="77"/>
      <c r="E36" s="77"/>
      <c r="F36" s="77"/>
      <c r="G36" s="77"/>
      <c r="H36" s="77"/>
      <c r="I36" s="103"/>
      <c r="J36" s="103"/>
      <c r="K36" s="103"/>
      <c r="L36" s="103"/>
      <c r="M36" s="77"/>
      <c r="N36" s="77"/>
      <c r="O36" s="104" t="str">
        <f t="shared" si="3"/>
        <v/>
      </c>
      <c r="P36" s="105">
        <f t="shared" si="4"/>
        <v>0</v>
      </c>
      <c r="Q36" s="77"/>
      <c r="R36" s="104" t="str">
        <f t="shared" si="5"/>
        <v/>
      </c>
      <c r="S36" s="77"/>
      <c r="T36" s="76"/>
    </row>
    <row r="37" spans="1:20" ht="15" customHeight="1" x14ac:dyDescent="0.25">
      <c r="A37" s="77"/>
      <c r="B37" s="77"/>
      <c r="C37" s="77"/>
      <c r="D37" s="77"/>
      <c r="E37" s="77"/>
      <c r="F37" s="77"/>
      <c r="G37" s="77"/>
      <c r="H37" s="77"/>
      <c r="I37" s="103"/>
      <c r="J37" s="103"/>
      <c r="K37" s="103"/>
      <c r="L37" s="103"/>
      <c r="M37" s="77"/>
      <c r="N37" s="77"/>
      <c r="O37" s="104" t="str">
        <f t="shared" si="3"/>
        <v/>
      </c>
      <c r="P37" s="105">
        <f t="shared" si="4"/>
        <v>0</v>
      </c>
      <c r="Q37" s="77"/>
      <c r="R37" s="104" t="str">
        <f t="shared" si="5"/>
        <v/>
      </c>
      <c r="S37" s="77"/>
      <c r="T37" s="76"/>
    </row>
    <row r="38" spans="1:20" ht="15" customHeight="1" x14ac:dyDescent="0.25">
      <c r="A38" s="77"/>
      <c r="B38" s="77"/>
      <c r="C38" s="77"/>
      <c r="D38" s="77"/>
      <c r="E38" s="77"/>
      <c r="F38" s="77"/>
      <c r="G38" s="77"/>
      <c r="H38" s="77"/>
      <c r="I38" s="103"/>
      <c r="J38" s="103"/>
      <c r="K38" s="103"/>
      <c r="L38" s="103"/>
      <c r="M38" s="77"/>
      <c r="N38" s="77"/>
      <c r="O38" s="104" t="str">
        <f t="shared" si="3"/>
        <v/>
      </c>
      <c r="P38" s="105">
        <f t="shared" si="4"/>
        <v>0</v>
      </c>
      <c r="Q38" s="77"/>
      <c r="R38" s="104" t="str">
        <f t="shared" si="5"/>
        <v/>
      </c>
      <c r="S38" s="77"/>
      <c r="T38" s="76"/>
    </row>
    <row r="39" spans="1:20" ht="15" customHeight="1" x14ac:dyDescent="0.25">
      <c r="A39" s="77"/>
      <c r="B39" s="77"/>
      <c r="C39" s="77"/>
      <c r="D39" s="77"/>
      <c r="E39" s="77"/>
      <c r="F39" s="77"/>
      <c r="G39" s="77"/>
      <c r="H39" s="77"/>
      <c r="I39" s="103"/>
      <c r="J39" s="103"/>
      <c r="K39" s="103"/>
      <c r="L39" s="103"/>
      <c r="M39" s="77"/>
      <c r="N39" s="77"/>
      <c r="O39" s="104" t="str">
        <f t="shared" si="3"/>
        <v/>
      </c>
      <c r="P39" s="105">
        <f t="shared" si="4"/>
        <v>0</v>
      </c>
      <c r="Q39" s="77"/>
      <c r="R39" s="104" t="str">
        <f t="shared" si="5"/>
        <v/>
      </c>
      <c r="S39" s="77"/>
      <c r="T39" s="76"/>
    </row>
    <row r="40" spans="1:20" ht="15" customHeight="1" x14ac:dyDescent="0.25">
      <c r="A40" s="77"/>
      <c r="B40" s="77"/>
      <c r="C40" s="77"/>
      <c r="D40" s="77"/>
      <c r="E40" s="77"/>
      <c r="F40" s="77"/>
      <c r="G40" s="77"/>
      <c r="H40" s="77"/>
      <c r="I40" s="103"/>
      <c r="J40" s="103"/>
      <c r="K40" s="103"/>
      <c r="L40" s="103"/>
      <c r="M40" s="77"/>
      <c r="N40" s="77"/>
      <c r="O40" s="104" t="str">
        <f t="shared" si="3"/>
        <v/>
      </c>
      <c r="P40" s="105">
        <f t="shared" si="4"/>
        <v>0</v>
      </c>
      <c r="Q40" s="77"/>
      <c r="R40" s="104" t="str">
        <f t="shared" si="5"/>
        <v/>
      </c>
      <c r="S40" s="77"/>
      <c r="T40" s="76"/>
    </row>
    <row r="41" spans="1:20" ht="15" customHeight="1" x14ac:dyDescent="0.25">
      <c r="A41" s="77"/>
      <c r="B41" s="77"/>
      <c r="C41" s="77"/>
      <c r="D41" s="77"/>
      <c r="E41" s="77"/>
      <c r="F41" s="77"/>
      <c r="G41" s="77"/>
      <c r="H41" s="77"/>
      <c r="I41" s="103"/>
      <c r="J41" s="103"/>
      <c r="K41" s="103"/>
      <c r="L41" s="103"/>
      <c r="M41" s="77"/>
      <c r="N41" s="77"/>
      <c r="O41" s="104" t="str">
        <f t="shared" si="3"/>
        <v/>
      </c>
      <c r="P41" s="105">
        <f t="shared" si="4"/>
        <v>0</v>
      </c>
      <c r="Q41" s="77"/>
      <c r="R41" s="104" t="str">
        <f t="shared" si="5"/>
        <v/>
      </c>
      <c r="S41" s="77"/>
      <c r="T41" s="76"/>
    </row>
    <row r="42" spans="1:20" ht="15" customHeight="1" x14ac:dyDescent="0.25">
      <c r="A42" s="77"/>
      <c r="B42" s="77"/>
      <c r="C42" s="77"/>
      <c r="D42" s="77"/>
      <c r="E42" s="77"/>
      <c r="F42" s="77"/>
      <c r="G42" s="77"/>
      <c r="H42" s="77"/>
      <c r="I42" s="103"/>
      <c r="J42" s="103"/>
      <c r="K42" s="103"/>
      <c r="L42" s="103"/>
      <c r="M42" s="77"/>
      <c r="N42" s="77"/>
      <c r="O42" s="104" t="str">
        <f t="shared" si="3"/>
        <v/>
      </c>
      <c r="P42" s="105">
        <f t="shared" si="4"/>
        <v>0</v>
      </c>
      <c r="Q42" s="77"/>
      <c r="R42" s="104" t="str">
        <f t="shared" si="5"/>
        <v/>
      </c>
      <c r="S42" s="77"/>
      <c r="T42" s="76"/>
    </row>
    <row r="43" spans="1:20" ht="15" customHeight="1" x14ac:dyDescent="0.25">
      <c r="A43" s="77"/>
      <c r="B43" s="77"/>
      <c r="C43" s="77"/>
      <c r="D43" s="77"/>
      <c r="E43" s="77"/>
      <c r="F43" s="77"/>
      <c r="G43" s="77"/>
      <c r="H43" s="77"/>
      <c r="I43" s="103"/>
      <c r="J43" s="103"/>
      <c r="K43" s="103"/>
      <c r="L43" s="103"/>
      <c r="M43" s="77"/>
      <c r="N43" s="77"/>
      <c r="O43" s="104" t="str">
        <f t="shared" si="3"/>
        <v/>
      </c>
      <c r="P43" s="105">
        <f t="shared" si="4"/>
        <v>0</v>
      </c>
      <c r="Q43" s="77"/>
      <c r="R43" s="104" t="str">
        <f t="shared" si="5"/>
        <v/>
      </c>
      <c r="S43" s="77"/>
      <c r="T43" s="76"/>
    </row>
    <row r="44" spans="1:20" ht="15" customHeight="1" x14ac:dyDescent="0.25">
      <c r="A44" s="77"/>
      <c r="B44" s="77"/>
      <c r="C44" s="77"/>
      <c r="D44" s="77"/>
      <c r="E44" s="77"/>
      <c r="F44" s="77"/>
      <c r="G44" s="77"/>
      <c r="H44" s="77"/>
      <c r="I44" s="103"/>
      <c r="J44" s="103"/>
      <c r="K44" s="103"/>
      <c r="L44" s="103"/>
      <c r="M44" s="77"/>
      <c r="N44" s="77"/>
      <c r="O44" s="104" t="str">
        <f t="shared" si="3"/>
        <v/>
      </c>
      <c r="P44" s="105">
        <f t="shared" si="4"/>
        <v>0</v>
      </c>
      <c r="Q44" s="77"/>
      <c r="R44" s="104" t="str">
        <f t="shared" si="5"/>
        <v/>
      </c>
      <c r="S44" s="77"/>
      <c r="T44" s="76"/>
    </row>
    <row r="45" spans="1:20" ht="15" customHeight="1" x14ac:dyDescent="0.25">
      <c r="A45" s="77"/>
      <c r="B45" s="77"/>
      <c r="C45" s="77"/>
      <c r="D45" s="77"/>
      <c r="E45" s="77"/>
      <c r="F45" s="77"/>
      <c r="G45" s="77"/>
      <c r="H45" s="77"/>
      <c r="I45" s="103"/>
      <c r="J45" s="103"/>
      <c r="K45" s="103"/>
      <c r="L45" s="103"/>
      <c r="M45" s="77"/>
      <c r="N45" s="77"/>
      <c r="O45" s="104" t="str">
        <f t="shared" si="3"/>
        <v/>
      </c>
      <c r="P45" s="105">
        <f t="shared" si="4"/>
        <v>0</v>
      </c>
      <c r="Q45" s="77"/>
      <c r="R45" s="104" t="str">
        <f t="shared" si="5"/>
        <v/>
      </c>
      <c r="S45" s="77"/>
      <c r="T45" s="76"/>
    </row>
    <row r="46" spans="1:20" ht="15" customHeight="1" x14ac:dyDescent="0.25">
      <c r="A46" s="77"/>
      <c r="B46" s="77"/>
      <c r="C46" s="77"/>
      <c r="D46" s="77"/>
      <c r="E46" s="77"/>
      <c r="F46" s="77"/>
      <c r="G46" s="77"/>
      <c r="H46" s="77"/>
      <c r="I46" s="103"/>
      <c r="J46" s="103"/>
      <c r="K46" s="103"/>
      <c r="L46" s="103"/>
      <c r="M46" s="77"/>
      <c r="N46" s="77"/>
      <c r="O46" s="104" t="str">
        <f t="shared" si="3"/>
        <v/>
      </c>
      <c r="P46" s="105">
        <f t="shared" si="4"/>
        <v>0</v>
      </c>
      <c r="Q46" s="77"/>
      <c r="R46" s="104" t="str">
        <f t="shared" si="5"/>
        <v/>
      </c>
      <c r="S46" s="77"/>
      <c r="T46" s="76"/>
    </row>
    <row r="47" spans="1:20" ht="15" customHeight="1" x14ac:dyDescent="0.25">
      <c r="A47" s="77"/>
      <c r="B47" s="77"/>
      <c r="C47" s="77"/>
      <c r="D47" s="77"/>
      <c r="E47" s="77"/>
      <c r="F47" s="77"/>
      <c r="G47" s="77"/>
      <c r="H47" s="77"/>
      <c r="I47" s="103"/>
      <c r="J47" s="103"/>
      <c r="K47" s="103"/>
      <c r="L47" s="103"/>
      <c r="M47" s="77"/>
      <c r="N47" s="77"/>
      <c r="O47" s="104" t="str">
        <f t="shared" si="3"/>
        <v/>
      </c>
      <c r="P47" s="105">
        <f t="shared" si="4"/>
        <v>0</v>
      </c>
      <c r="Q47" s="77"/>
      <c r="R47" s="104" t="str">
        <f t="shared" si="5"/>
        <v/>
      </c>
      <c r="S47" s="77"/>
      <c r="T47" s="76"/>
    </row>
    <row r="48" spans="1:20" ht="15" customHeight="1" x14ac:dyDescent="0.25">
      <c r="A48" s="77"/>
      <c r="B48" s="77"/>
      <c r="C48" s="77"/>
      <c r="D48" s="77"/>
      <c r="E48" s="77"/>
      <c r="F48" s="77"/>
      <c r="G48" s="77"/>
      <c r="H48" s="77"/>
      <c r="I48" s="103"/>
      <c r="J48" s="103"/>
      <c r="K48" s="103"/>
      <c r="L48" s="103"/>
      <c r="M48" s="77"/>
      <c r="N48" s="77"/>
      <c r="O48" s="104" t="str">
        <f t="shared" si="3"/>
        <v/>
      </c>
      <c r="P48" s="105">
        <f t="shared" si="4"/>
        <v>0</v>
      </c>
      <c r="Q48" s="77"/>
      <c r="R48" s="104" t="str">
        <f t="shared" si="5"/>
        <v/>
      </c>
      <c r="S48" s="77"/>
      <c r="T48" s="76"/>
    </row>
    <row r="49" spans="1:20" ht="15" customHeight="1" x14ac:dyDescent="0.25">
      <c r="A49" s="77"/>
      <c r="B49" s="77"/>
      <c r="C49" s="77"/>
      <c r="D49" s="77"/>
      <c r="E49" s="77"/>
      <c r="F49" s="77"/>
      <c r="G49" s="77"/>
      <c r="H49" s="77"/>
      <c r="I49" s="103"/>
      <c r="J49" s="103"/>
      <c r="K49" s="103"/>
      <c r="L49" s="103"/>
      <c r="M49" s="77"/>
      <c r="N49" s="77"/>
      <c r="O49" s="104" t="str">
        <f t="shared" si="3"/>
        <v/>
      </c>
      <c r="P49" s="105">
        <f t="shared" si="4"/>
        <v>0</v>
      </c>
      <c r="Q49" s="77"/>
      <c r="R49" s="104" t="str">
        <f t="shared" si="5"/>
        <v/>
      </c>
      <c r="S49" s="77"/>
      <c r="T49" s="76"/>
    </row>
    <row r="50" spans="1:20" ht="15" customHeight="1" x14ac:dyDescent="0.25">
      <c r="A50" s="77"/>
      <c r="B50" s="77"/>
      <c r="C50" s="77"/>
      <c r="D50" s="77"/>
      <c r="E50" s="77"/>
      <c r="F50" s="77"/>
      <c r="G50" s="77"/>
      <c r="H50" s="77"/>
      <c r="I50" s="103"/>
      <c r="J50" s="103"/>
      <c r="K50" s="103"/>
      <c r="L50" s="103"/>
      <c r="M50" s="77"/>
      <c r="N50" s="77"/>
      <c r="O50" s="104" t="str">
        <f t="shared" si="3"/>
        <v/>
      </c>
      <c r="P50" s="105">
        <f t="shared" si="4"/>
        <v>0</v>
      </c>
      <c r="Q50" s="77"/>
      <c r="R50" s="104" t="str">
        <f t="shared" si="5"/>
        <v/>
      </c>
      <c r="S50" s="77"/>
      <c r="T50" s="76"/>
    </row>
    <row r="51" spans="1:20" ht="15" customHeight="1" x14ac:dyDescent="0.25">
      <c r="A51" s="77"/>
      <c r="B51" s="77"/>
      <c r="C51" s="77"/>
      <c r="D51" s="77"/>
      <c r="E51" s="77"/>
      <c r="F51" s="77"/>
      <c r="G51" s="77"/>
      <c r="H51" s="77"/>
      <c r="I51" s="103"/>
      <c r="J51" s="103"/>
      <c r="K51" s="103"/>
      <c r="L51" s="103"/>
      <c r="M51" s="77"/>
      <c r="N51" s="77"/>
      <c r="O51" s="104" t="str">
        <f t="shared" si="3"/>
        <v/>
      </c>
      <c r="P51" s="105">
        <f t="shared" si="4"/>
        <v>0</v>
      </c>
      <c r="Q51" s="77"/>
      <c r="R51" s="104" t="str">
        <f t="shared" si="5"/>
        <v/>
      </c>
      <c r="S51" s="77"/>
      <c r="T51" s="76"/>
    </row>
    <row r="52" spans="1:20" ht="15" customHeight="1" x14ac:dyDescent="0.25">
      <c r="A52" s="77"/>
      <c r="B52" s="77"/>
      <c r="C52" s="77"/>
      <c r="D52" s="77"/>
      <c r="E52" s="77"/>
      <c r="F52" s="77"/>
      <c r="G52" s="77"/>
      <c r="H52" s="77"/>
      <c r="I52" s="103"/>
      <c r="J52" s="103"/>
      <c r="K52" s="103"/>
      <c r="L52" s="103"/>
      <c r="M52" s="77"/>
      <c r="N52" s="77"/>
      <c r="O52" s="104" t="str">
        <f t="shared" si="3"/>
        <v/>
      </c>
      <c r="P52" s="105">
        <f t="shared" si="4"/>
        <v>0</v>
      </c>
      <c r="Q52" s="77"/>
      <c r="R52" s="104" t="str">
        <f t="shared" si="5"/>
        <v/>
      </c>
      <c r="S52" s="77"/>
      <c r="T52" s="76"/>
    </row>
    <row r="53" spans="1:20" ht="15" customHeight="1" x14ac:dyDescent="0.25">
      <c r="A53" s="77"/>
      <c r="B53" s="77"/>
      <c r="C53" s="77"/>
      <c r="D53" s="77"/>
      <c r="E53" s="77"/>
      <c r="F53" s="77"/>
      <c r="G53" s="77"/>
      <c r="H53" s="77"/>
      <c r="I53" s="103"/>
      <c r="J53" s="103"/>
      <c r="K53" s="103"/>
      <c r="L53" s="103"/>
      <c r="M53" s="77"/>
      <c r="N53" s="77"/>
      <c r="O53" s="104" t="str">
        <f t="shared" si="3"/>
        <v/>
      </c>
      <c r="P53" s="105">
        <f t="shared" si="4"/>
        <v>0</v>
      </c>
      <c r="Q53" s="77"/>
      <c r="R53" s="104" t="str">
        <f t="shared" si="5"/>
        <v/>
      </c>
      <c r="S53" s="77"/>
      <c r="T53" s="76"/>
    </row>
    <row r="54" spans="1:20" ht="15" customHeight="1" x14ac:dyDescent="0.25">
      <c r="A54" s="77"/>
      <c r="B54" s="77"/>
      <c r="C54" s="77"/>
      <c r="D54" s="77"/>
      <c r="E54" s="77"/>
      <c r="F54" s="77"/>
      <c r="G54" s="77"/>
      <c r="H54" s="77"/>
      <c r="I54" s="103"/>
      <c r="J54" s="103"/>
      <c r="K54" s="103"/>
      <c r="L54" s="103"/>
      <c r="M54" s="77"/>
      <c r="N54" s="77"/>
      <c r="O54" s="104" t="str">
        <f t="shared" si="3"/>
        <v/>
      </c>
      <c r="P54" s="105">
        <f t="shared" si="4"/>
        <v>0</v>
      </c>
      <c r="Q54" s="77"/>
      <c r="R54" s="104" t="str">
        <f t="shared" si="5"/>
        <v/>
      </c>
      <c r="S54" s="77"/>
      <c r="T54" s="76"/>
    </row>
    <row r="55" spans="1:20" ht="15" customHeight="1" x14ac:dyDescent="0.25">
      <c r="A55" s="77"/>
      <c r="B55" s="77"/>
      <c r="C55" s="77"/>
      <c r="D55" s="77"/>
      <c r="E55" s="77"/>
      <c r="F55" s="77"/>
      <c r="G55" s="77"/>
      <c r="H55" s="77"/>
      <c r="I55" s="103"/>
      <c r="J55" s="103"/>
      <c r="K55" s="103"/>
      <c r="L55" s="103"/>
      <c r="M55" s="77"/>
      <c r="N55" s="77"/>
      <c r="O55" s="104" t="str">
        <f t="shared" si="3"/>
        <v/>
      </c>
      <c r="P55" s="105">
        <f t="shared" si="4"/>
        <v>0</v>
      </c>
      <c r="Q55" s="77"/>
      <c r="R55" s="104" t="str">
        <f t="shared" si="5"/>
        <v/>
      </c>
      <c r="S55" s="77"/>
      <c r="T55" s="76"/>
    </row>
    <row r="56" spans="1:20" ht="15" customHeight="1" x14ac:dyDescent="0.25">
      <c r="A56" s="77"/>
      <c r="B56" s="77"/>
      <c r="C56" s="77"/>
      <c r="D56" s="77"/>
      <c r="E56" s="77"/>
      <c r="F56" s="77"/>
      <c r="G56" s="77"/>
      <c r="H56" s="77"/>
      <c r="I56" s="103"/>
      <c r="J56" s="103"/>
      <c r="K56" s="103"/>
      <c r="L56" s="103"/>
      <c r="M56" s="77"/>
      <c r="N56" s="77"/>
      <c r="O56" s="104" t="str">
        <f t="shared" si="3"/>
        <v/>
      </c>
      <c r="P56" s="105">
        <f t="shared" si="4"/>
        <v>0</v>
      </c>
      <c r="Q56" s="77"/>
      <c r="R56" s="104" t="str">
        <f t="shared" si="5"/>
        <v/>
      </c>
      <c r="S56" s="77"/>
      <c r="T56" s="76"/>
    </row>
    <row r="57" spans="1:20" ht="15" customHeight="1" x14ac:dyDescent="0.25">
      <c r="A57" s="77"/>
      <c r="B57" s="77"/>
      <c r="C57" s="77"/>
      <c r="D57" s="77"/>
      <c r="E57" s="77"/>
      <c r="F57" s="77"/>
      <c r="G57" s="77"/>
      <c r="H57" s="77"/>
      <c r="I57" s="103"/>
      <c r="J57" s="103"/>
      <c r="K57" s="103"/>
      <c r="L57" s="103"/>
      <c r="M57" s="77"/>
      <c r="N57" s="77"/>
      <c r="O57" s="104" t="str">
        <f t="shared" si="3"/>
        <v/>
      </c>
      <c r="P57" s="105">
        <f t="shared" si="4"/>
        <v>0</v>
      </c>
      <c r="Q57" s="77"/>
      <c r="R57" s="104" t="str">
        <f t="shared" si="5"/>
        <v/>
      </c>
      <c r="S57" s="77"/>
      <c r="T57" s="76"/>
    </row>
    <row r="58" spans="1:20" ht="15" customHeight="1" x14ac:dyDescent="0.25">
      <c r="A58" s="77"/>
      <c r="B58" s="77"/>
      <c r="C58" s="77"/>
      <c r="D58" s="77"/>
      <c r="E58" s="77"/>
      <c r="F58" s="77"/>
      <c r="G58" s="77"/>
      <c r="H58" s="77"/>
      <c r="I58" s="103"/>
      <c r="J58" s="103"/>
      <c r="K58" s="103"/>
      <c r="L58" s="103"/>
      <c r="M58" s="77"/>
      <c r="N58" s="77"/>
      <c r="O58" s="104" t="str">
        <f t="shared" si="3"/>
        <v/>
      </c>
      <c r="P58" s="105">
        <f t="shared" si="4"/>
        <v>0</v>
      </c>
      <c r="Q58" s="77"/>
      <c r="R58" s="104" t="str">
        <f t="shared" si="5"/>
        <v/>
      </c>
      <c r="S58" s="77"/>
      <c r="T58" s="76"/>
    </row>
    <row r="59" spans="1:20" ht="15" customHeight="1" x14ac:dyDescent="0.25">
      <c r="A59" s="77"/>
      <c r="B59" s="77"/>
      <c r="C59" s="77"/>
      <c r="D59" s="77"/>
      <c r="E59" s="77"/>
      <c r="F59" s="77"/>
      <c r="G59" s="77"/>
      <c r="H59" s="77"/>
      <c r="I59" s="103"/>
      <c r="J59" s="103"/>
      <c r="K59" s="103"/>
      <c r="L59" s="103"/>
      <c r="M59" s="77"/>
      <c r="N59" s="77"/>
      <c r="O59" s="104" t="str">
        <f t="shared" si="3"/>
        <v/>
      </c>
      <c r="P59" s="105">
        <f t="shared" si="4"/>
        <v>0</v>
      </c>
      <c r="Q59" s="77"/>
      <c r="R59" s="104" t="str">
        <f t="shared" si="5"/>
        <v/>
      </c>
      <c r="S59" s="77"/>
      <c r="T59" s="76"/>
    </row>
    <row r="60" spans="1:20" ht="15" customHeight="1" x14ac:dyDescent="0.25">
      <c r="A60" s="77"/>
      <c r="B60" s="77"/>
      <c r="C60" s="77"/>
      <c r="D60" s="77"/>
      <c r="E60" s="77"/>
      <c r="F60" s="77"/>
      <c r="G60" s="77"/>
      <c r="H60" s="77"/>
      <c r="I60" s="103"/>
      <c r="J60" s="103"/>
      <c r="K60" s="103"/>
      <c r="L60" s="103"/>
      <c r="M60" s="77"/>
      <c r="N60" s="77"/>
      <c r="O60" s="104" t="str">
        <f t="shared" si="3"/>
        <v/>
      </c>
      <c r="P60" s="105">
        <f t="shared" si="4"/>
        <v>0</v>
      </c>
      <c r="Q60" s="77"/>
      <c r="R60" s="104" t="str">
        <f t="shared" si="5"/>
        <v/>
      </c>
      <c r="S60" s="77"/>
      <c r="T60" s="76"/>
    </row>
    <row r="61" spans="1:20" ht="15" customHeight="1" x14ac:dyDescent="0.25">
      <c r="A61" s="77"/>
      <c r="B61" s="77"/>
      <c r="C61" s="77"/>
      <c r="D61" s="77"/>
      <c r="E61" s="77"/>
      <c r="F61" s="77"/>
      <c r="G61" s="77"/>
      <c r="H61" s="77"/>
      <c r="I61" s="103"/>
      <c r="J61" s="103"/>
      <c r="K61" s="103"/>
      <c r="L61" s="103"/>
      <c r="M61" s="77"/>
      <c r="N61" s="77"/>
      <c r="O61" s="104" t="str">
        <f t="shared" si="3"/>
        <v/>
      </c>
      <c r="P61" s="105">
        <f t="shared" si="4"/>
        <v>0</v>
      </c>
      <c r="Q61" s="77"/>
      <c r="R61" s="104" t="str">
        <f t="shared" si="5"/>
        <v/>
      </c>
      <c r="S61" s="77"/>
      <c r="T61" s="76"/>
    </row>
    <row r="62" spans="1:20" ht="15" customHeight="1" x14ac:dyDescent="0.25">
      <c r="A62" s="77"/>
      <c r="B62" s="77"/>
      <c r="C62" s="77"/>
      <c r="D62" s="77"/>
      <c r="E62" s="77"/>
      <c r="F62" s="77"/>
      <c r="G62" s="77"/>
      <c r="H62" s="77"/>
      <c r="I62" s="103"/>
      <c r="J62" s="103"/>
      <c r="K62" s="103"/>
      <c r="L62" s="103"/>
      <c r="M62" s="77"/>
      <c r="N62" s="77"/>
      <c r="O62" s="104" t="str">
        <f t="shared" si="3"/>
        <v/>
      </c>
      <c r="P62" s="105">
        <f t="shared" si="4"/>
        <v>0</v>
      </c>
      <c r="Q62" s="77"/>
      <c r="R62" s="104" t="str">
        <f t="shared" si="5"/>
        <v/>
      </c>
      <c r="S62" s="77"/>
      <c r="T62" s="76"/>
    </row>
    <row r="63" spans="1:20" ht="15" customHeight="1" x14ac:dyDescent="0.25">
      <c r="A63" s="77"/>
      <c r="B63" s="77"/>
      <c r="C63" s="77"/>
      <c r="D63" s="77"/>
      <c r="E63" s="77"/>
      <c r="F63" s="77"/>
      <c r="G63" s="77"/>
      <c r="H63" s="77"/>
      <c r="I63" s="103"/>
      <c r="J63" s="103"/>
      <c r="K63" s="103"/>
      <c r="L63" s="103"/>
      <c r="M63" s="77"/>
      <c r="N63" s="77"/>
      <c r="O63" s="104" t="str">
        <f t="shared" si="3"/>
        <v/>
      </c>
      <c r="P63" s="105">
        <f t="shared" si="4"/>
        <v>0</v>
      </c>
      <c r="Q63" s="77"/>
      <c r="R63" s="104" t="str">
        <f t="shared" si="5"/>
        <v/>
      </c>
      <c r="S63" s="77"/>
      <c r="T63" s="76"/>
    </row>
    <row r="64" spans="1:20" ht="15" customHeight="1" x14ac:dyDescent="0.25">
      <c r="A64" s="77"/>
      <c r="B64" s="77"/>
      <c r="C64" s="77"/>
      <c r="D64" s="77"/>
      <c r="E64" s="77"/>
      <c r="F64" s="77"/>
      <c r="G64" s="77"/>
      <c r="H64" s="77"/>
      <c r="I64" s="103"/>
      <c r="J64" s="103"/>
      <c r="K64" s="103"/>
      <c r="L64" s="103"/>
      <c r="M64" s="77"/>
      <c r="N64" s="77"/>
      <c r="O64" s="104" t="str">
        <f t="shared" si="3"/>
        <v/>
      </c>
      <c r="P64" s="105">
        <f t="shared" si="4"/>
        <v>0</v>
      </c>
      <c r="Q64" s="77"/>
      <c r="R64" s="104" t="str">
        <f t="shared" si="5"/>
        <v/>
      </c>
      <c r="S64" s="77"/>
      <c r="T64" s="76"/>
    </row>
    <row r="65" spans="1:20" ht="15" customHeight="1" x14ac:dyDescent="0.25">
      <c r="A65" s="77"/>
      <c r="B65" s="77"/>
      <c r="C65" s="77"/>
      <c r="D65" s="77"/>
      <c r="E65" s="77"/>
      <c r="F65" s="77"/>
      <c r="G65" s="77"/>
      <c r="H65" s="77"/>
      <c r="I65" s="103"/>
      <c r="J65" s="103"/>
      <c r="K65" s="103"/>
      <c r="L65" s="103"/>
      <c r="M65" s="77"/>
      <c r="N65" s="77"/>
      <c r="O65" s="104" t="str">
        <f t="shared" si="3"/>
        <v/>
      </c>
      <c r="P65" s="105">
        <f t="shared" si="4"/>
        <v>0</v>
      </c>
      <c r="Q65" s="77"/>
      <c r="R65" s="104" t="str">
        <f t="shared" si="5"/>
        <v/>
      </c>
      <c r="S65" s="77"/>
      <c r="T65" s="76"/>
    </row>
    <row r="66" spans="1:20" ht="15" customHeight="1" x14ac:dyDescent="0.25">
      <c r="A66" s="77"/>
      <c r="B66" s="77"/>
      <c r="C66" s="77"/>
      <c r="D66" s="77"/>
      <c r="E66" s="77"/>
      <c r="F66" s="77"/>
      <c r="G66" s="77"/>
      <c r="H66" s="77"/>
      <c r="I66" s="103"/>
      <c r="J66" s="103"/>
      <c r="K66" s="103"/>
      <c r="L66" s="103"/>
      <c r="M66" s="77"/>
      <c r="N66" s="77"/>
      <c r="O66" s="104" t="str">
        <f t="shared" si="3"/>
        <v/>
      </c>
      <c r="P66" s="105">
        <f t="shared" si="4"/>
        <v>0</v>
      </c>
      <c r="Q66" s="77"/>
      <c r="R66" s="104" t="str">
        <f t="shared" si="5"/>
        <v/>
      </c>
      <c r="S66" s="77"/>
      <c r="T66" s="76"/>
    </row>
    <row r="67" spans="1:20" ht="15" customHeight="1" x14ac:dyDescent="0.25">
      <c r="A67" s="77"/>
      <c r="B67" s="77"/>
      <c r="C67" s="77"/>
      <c r="D67" s="77"/>
      <c r="E67" s="77"/>
      <c r="F67" s="77"/>
      <c r="G67" s="77"/>
      <c r="H67" s="77"/>
      <c r="I67" s="103"/>
      <c r="J67" s="103"/>
      <c r="K67" s="103"/>
      <c r="L67" s="103"/>
      <c r="M67" s="77"/>
      <c r="N67" s="77"/>
      <c r="O67" s="104" t="str">
        <f t="shared" ref="O67:O98" si="6">IF(M67="","",M67-N67)</f>
        <v/>
      </c>
      <c r="P67" s="105">
        <f t="shared" ref="P67:P98" si="7">IFERROR(O67/M67,0)</f>
        <v>0</v>
      </c>
      <c r="Q67" s="77"/>
      <c r="R67" s="104" t="str">
        <f t="shared" ref="R67:R98" si="8">IF(M67="","",M67-Q67)</f>
        <v/>
      </c>
      <c r="S67" s="77"/>
      <c r="T67" s="76"/>
    </row>
    <row r="68" spans="1:20" ht="15" customHeight="1" x14ac:dyDescent="0.25">
      <c r="A68" s="77"/>
      <c r="B68" s="77"/>
      <c r="C68" s="77"/>
      <c r="D68" s="77"/>
      <c r="E68" s="77"/>
      <c r="F68" s="77"/>
      <c r="G68" s="77"/>
      <c r="H68" s="77"/>
      <c r="I68" s="103"/>
      <c r="J68" s="103"/>
      <c r="K68" s="103"/>
      <c r="L68" s="103"/>
      <c r="M68" s="77"/>
      <c r="N68" s="77"/>
      <c r="O68" s="104" t="str">
        <f t="shared" si="6"/>
        <v/>
      </c>
      <c r="P68" s="105">
        <f t="shared" si="7"/>
        <v>0</v>
      </c>
      <c r="Q68" s="77"/>
      <c r="R68" s="104" t="str">
        <f t="shared" si="8"/>
        <v/>
      </c>
      <c r="S68" s="77"/>
      <c r="T68" s="76"/>
    </row>
    <row r="69" spans="1:20" ht="15" customHeight="1" x14ac:dyDescent="0.25">
      <c r="A69" s="77"/>
      <c r="B69" s="77"/>
      <c r="C69" s="77"/>
      <c r="D69" s="77"/>
      <c r="E69" s="77"/>
      <c r="F69" s="77"/>
      <c r="G69" s="77"/>
      <c r="H69" s="77"/>
      <c r="I69" s="103"/>
      <c r="J69" s="103"/>
      <c r="K69" s="103"/>
      <c r="L69" s="103"/>
      <c r="M69" s="77"/>
      <c r="N69" s="77"/>
      <c r="O69" s="104" t="str">
        <f t="shared" si="6"/>
        <v/>
      </c>
      <c r="P69" s="105">
        <f t="shared" si="7"/>
        <v>0</v>
      </c>
      <c r="Q69" s="77"/>
      <c r="R69" s="104" t="str">
        <f t="shared" si="8"/>
        <v/>
      </c>
      <c r="S69" s="77"/>
      <c r="T69" s="76"/>
    </row>
    <row r="70" spans="1:20" ht="15" customHeight="1" x14ac:dyDescent="0.25">
      <c r="A70" s="77"/>
      <c r="B70" s="77"/>
      <c r="C70" s="77"/>
      <c r="D70" s="77"/>
      <c r="E70" s="77"/>
      <c r="F70" s="77"/>
      <c r="G70" s="77"/>
      <c r="H70" s="77"/>
      <c r="I70" s="103"/>
      <c r="J70" s="103"/>
      <c r="K70" s="103"/>
      <c r="L70" s="103"/>
      <c r="M70" s="77"/>
      <c r="N70" s="77"/>
      <c r="O70" s="104" t="str">
        <f t="shared" si="6"/>
        <v/>
      </c>
      <c r="P70" s="105">
        <f t="shared" si="7"/>
        <v>0</v>
      </c>
      <c r="Q70" s="77"/>
      <c r="R70" s="104" t="str">
        <f t="shared" si="8"/>
        <v/>
      </c>
      <c r="S70" s="77"/>
      <c r="T70" s="76"/>
    </row>
    <row r="71" spans="1:20" ht="15" customHeight="1" x14ac:dyDescent="0.25">
      <c r="A71" s="77"/>
      <c r="B71" s="77"/>
      <c r="C71" s="77"/>
      <c r="D71" s="77"/>
      <c r="E71" s="77"/>
      <c r="F71" s="77"/>
      <c r="G71" s="77"/>
      <c r="H71" s="77"/>
      <c r="I71" s="103"/>
      <c r="J71" s="103"/>
      <c r="K71" s="103"/>
      <c r="L71" s="103"/>
      <c r="M71" s="77"/>
      <c r="N71" s="77"/>
      <c r="O71" s="104" t="str">
        <f t="shared" si="6"/>
        <v/>
      </c>
      <c r="P71" s="105">
        <f t="shared" si="7"/>
        <v>0</v>
      </c>
      <c r="Q71" s="77"/>
      <c r="R71" s="104" t="str">
        <f t="shared" si="8"/>
        <v/>
      </c>
      <c r="S71" s="77"/>
      <c r="T71" s="76"/>
    </row>
    <row r="72" spans="1:20" ht="15" customHeight="1" x14ac:dyDescent="0.25">
      <c r="A72" s="77"/>
      <c r="B72" s="77"/>
      <c r="C72" s="77"/>
      <c r="D72" s="77"/>
      <c r="E72" s="77"/>
      <c r="F72" s="77"/>
      <c r="G72" s="77"/>
      <c r="H72" s="77"/>
      <c r="I72" s="103"/>
      <c r="J72" s="103"/>
      <c r="K72" s="103"/>
      <c r="L72" s="103"/>
      <c r="M72" s="77"/>
      <c r="N72" s="77"/>
      <c r="O72" s="104" t="str">
        <f t="shared" si="6"/>
        <v/>
      </c>
      <c r="P72" s="105">
        <f t="shared" si="7"/>
        <v>0</v>
      </c>
      <c r="Q72" s="77"/>
      <c r="R72" s="104" t="str">
        <f t="shared" si="8"/>
        <v/>
      </c>
      <c r="S72" s="77"/>
      <c r="T72" s="76"/>
    </row>
    <row r="73" spans="1:20" ht="15" customHeight="1" x14ac:dyDescent="0.25">
      <c r="A73" s="77"/>
      <c r="B73" s="77"/>
      <c r="C73" s="77"/>
      <c r="D73" s="77"/>
      <c r="E73" s="77"/>
      <c r="F73" s="77"/>
      <c r="G73" s="77"/>
      <c r="H73" s="77"/>
      <c r="I73" s="103"/>
      <c r="J73" s="103"/>
      <c r="K73" s="103"/>
      <c r="L73" s="103"/>
      <c r="M73" s="77"/>
      <c r="N73" s="77"/>
      <c r="O73" s="104" t="str">
        <f t="shared" si="6"/>
        <v/>
      </c>
      <c r="P73" s="105">
        <f t="shared" si="7"/>
        <v>0</v>
      </c>
      <c r="Q73" s="77"/>
      <c r="R73" s="104" t="str">
        <f t="shared" si="8"/>
        <v/>
      </c>
      <c r="S73" s="77"/>
      <c r="T73" s="76"/>
    </row>
    <row r="74" spans="1:20" ht="15" customHeight="1" x14ac:dyDescent="0.25">
      <c r="A74" s="77"/>
      <c r="B74" s="77"/>
      <c r="C74" s="77"/>
      <c r="D74" s="77"/>
      <c r="E74" s="77"/>
      <c r="F74" s="77"/>
      <c r="G74" s="77"/>
      <c r="H74" s="77"/>
      <c r="I74" s="103"/>
      <c r="J74" s="103"/>
      <c r="K74" s="103"/>
      <c r="L74" s="103"/>
      <c r="M74" s="77"/>
      <c r="N74" s="77"/>
      <c r="O74" s="104" t="str">
        <f t="shared" si="6"/>
        <v/>
      </c>
      <c r="P74" s="105">
        <f t="shared" si="7"/>
        <v>0</v>
      </c>
      <c r="Q74" s="77"/>
      <c r="R74" s="104" t="str">
        <f t="shared" si="8"/>
        <v/>
      </c>
      <c r="S74" s="77"/>
      <c r="T74" s="76"/>
    </row>
    <row r="75" spans="1:20" ht="15" customHeight="1" x14ac:dyDescent="0.25">
      <c r="A75" s="77"/>
      <c r="B75" s="77"/>
      <c r="C75" s="77"/>
      <c r="D75" s="77"/>
      <c r="E75" s="77"/>
      <c r="F75" s="77"/>
      <c r="G75" s="77"/>
      <c r="H75" s="77"/>
      <c r="I75" s="103"/>
      <c r="J75" s="103"/>
      <c r="K75" s="103"/>
      <c r="L75" s="103"/>
      <c r="M75" s="77"/>
      <c r="N75" s="77"/>
      <c r="O75" s="104" t="str">
        <f t="shared" si="6"/>
        <v/>
      </c>
      <c r="P75" s="105">
        <f t="shared" si="7"/>
        <v>0</v>
      </c>
      <c r="Q75" s="77"/>
      <c r="R75" s="104" t="str">
        <f t="shared" si="8"/>
        <v/>
      </c>
      <c r="S75" s="77"/>
      <c r="T75" s="76"/>
    </row>
    <row r="76" spans="1:20" ht="15" customHeight="1" x14ac:dyDescent="0.25">
      <c r="A76" s="77"/>
      <c r="B76" s="77"/>
      <c r="C76" s="77"/>
      <c r="D76" s="77"/>
      <c r="E76" s="77"/>
      <c r="F76" s="77"/>
      <c r="G76" s="77"/>
      <c r="H76" s="77"/>
      <c r="I76" s="103"/>
      <c r="J76" s="103"/>
      <c r="K76" s="103"/>
      <c r="L76" s="103"/>
      <c r="M76" s="77"/>
      <c r="N76" s="77"/>
      <c r="O76" s="104" t="str">
        <f t="shared" si="6"/>
        <v/>
      </c>
      <c r="P76" s="105">
        <f t="shared" si="7"/>
        <v>0</v>
      </c>
      <c r="Q76" s="77"/>
      <c r="R76" s="104" t="str">
        <f t="shared" si="8"/>
        <v/>
      </c>
      <c r="S76" s="77"/>
      <c r="T76" s="76"/>
    </row>
    <row r="77" spans="1:20" ht="15" customHeight="1" x14ac:dyDescent="0.25">
      <c r="A77" s="77"/>
      <c r="B77" s="77"/>
      <c r="C77" s="77"/>
      <c r="D77" s="77"/>
      <c r="E77" s="77"/>
      <c r="F77" s="77"/>
      <c r="G77" s="77"/>
      <c r="H77" s="77"/>
      <c r="I77" s="103"/>
      <c r="J77" s="103"/>
      <c r="K77" s="103"/>
      <c r="L77" s="103"/>
      <c r="M77" s="77"/>
      <c r="N77" s="77"/>
      <c r="O77" s="104" t="str">
        <f t="shared" si="6"/>
        <v/>
      </c>
      <c r="P77" s="105">
        <f t="shared" si="7"/>
        <v>0</v>
      </c>
      <c r="Q77" s="77"/>
      <c r="R77" s="104" t="str">
        <f t="shared" si="8"/>
        <v/>
      </c>
      <c r="S77" s="77"/>
      <c r="T77" s="76"/>
    </row>
    <row r="78" spans="1:20" ht="15" customHeight="1" x14ac:dyDescent="0.25">
      <c r="A78" s="77"/>
      <c r="B78" s="77"/>
      <c r="C78" s="77"/>
      <c r="D78" s="77"/>
      <c r="E78" s="77"/>
      <c r="F78" s="77"/>
      <c r="G78" s="77"/>
      <c r="H78" s="77"/>
      <c r="I78" s="103"/>
      <c r="J78" s="103"/>
      <c r="K78" s="103"/>
      <c r="L78" s="103"/>
      <c r="M78" s="77"/>
      <c r="N78" s="77"/>
      <c r="O78" s="104" t="str">
        <f t="shared" si="6"/>
        <v/>
      </c>
      <c r="P78" s="105">
        <f t="shared" si="7"/>
        <v>0</v>
      </c>
      <c r="Q78" s="77"/>
      <c r="R78" s="104" t="str">
        <f t="shared" si="8"/>
        <v/>
      </c>
      <c r="S78" s="77"/>
      <c r="T78" s="76"/>
    </row>
    <row r="79" spans="1:20" ht="15" customHeight="1" x14ac:dyDescent="0.25">
      <c r="A79" s="77"/>
      <c r="B79" s="77"/>
      <c r="C79" s="77"/>
      <c r="D79" s="77"/>
      <c r="E79" s="77"/>
      <c r="F79" s="77"/>
      <c r="G79" s="77"/>
      <c r="H79" s="77"/>
      <c r="I79" s="103"/>
      <c r="J79" s="103"/>
      <c r="K79" s="103"/>
      <c r="L79" s="103"/>
      <c r="M79" s="77"/>
      <c r="N79" s="77"/>
      <c r="O79" s="104" t="str">
        <f t="shared" si="6"/>
        <v/>
      </c>
      <c r="P79" s="105">
        <f t="shared" si="7"/>
        <v>0</v>
      </c>
      <c r="Q79" s="77"/>
      <c r="R79" s="104" t="str">
        <f t="shared" si="8"/>
        <v/>
      </c>
      <c r="S79" s="77"/>
      <c r="T79" s="76"/>
    </row>
    <row r="80" spans="1:20" ht="15" customHeight="1" x14ac:dyDescent="0.25">
      <c r="A80" s="77"/>
      <c r="B80" s="77"/>
      <c r="C80" s="77"/>
      <c r="D80" s="77"/>
      <c r="E80" s="77"/>
      <c r="F80" s="77"/>
      <c r="G80" s="77"/>
      <c r="H80" s="77"/>
      <c r="I80" s="103"/>
      <c r="J80" s="103"/>
      <c r="K80" s="103"/>
      <c r="L80" s="103"/>
      <c r="M80" s="77"/>
      <c r="N80" s="77"/>
      <c r="O80" s="104" t="str">
        <f t="shared" si="6"/>
        <v/>
      </c>
      <c r="P80" s="105">
        <f t="shared" si="7"/>
        <v>0</v>
      </c>
      <c r="Q80" s="77"/>
      <c r="R80" s="104" t="str">
        <f t="shared" si="8"/>
        <v/>
      </c>
      <c r="S80" s="77"/>
      <c r="T80" s="76"/>
    </row>
    <row r="81" spans="1:20" ht="15" customHeight="1" x14ac:dyDescent="0.25">
      <c r="A81" s="77"/>
      <c r="B81" s="77"/>
      <c r="C81" s="77"/>
      <c r="D81" s="77"/>
      <c r="E81" s="77"/>
      <c r="F81" s="77"/>
      <c r="G81" s="77"/>
      <c r="H81" s="77"/>
      <c r="I81" s="103"/>
      <c r="J81" s="103"/>
      <c r="K81" s="103"/>
      <c r="L81" s="103"/>
      <c r="M81" s="77"/>
      <c r="N81" s="77"/>
      <c r="O81" s="104" t="str">
        <f t="shared" si="6"/>
        <v/>
      </c>
      <c r="P81" s="105">
        <f t="shared" si="7"/>
        <v>0</v>
      </c>
      <c r="Q81" s="77"/>
      <c r="R81" s="104" t="str">
        <f t="shared" si="8"/>
        <v/>
      </c>
      <c r="S81" s="77"/>
      <c r="T81" s="76"/>
    </row>
    <row r="82" spans="1:20" ht="15" customHeight="1" x14ac:dyDescent="0.25">
      <c r="A82" s="77"/>
      <c r="B82" s="77"/>
      <c r="C82" s="77"/>
      <c r="D82" s="77"/>
      <c r="E82" s="77"/>
      <c r="F82" s="77"/>
      <c r="G82" s="77"/>
      <c r="H82" s="77"/>
      <c r="I82" s="103"/>
      <c r="J82" s="103"/>
      <c r="K82" s="103"/>
      <c r="L82" s="103"/>
      <c r="M82" s="77"/>
      <c r="N82" s="77"/>
      <c r="O82" s="104" t="str">
        <f t="shared" si="6"/>
        <v/>
      </c>
      <c r="P82" s="105">
        <f t="shared" si="7"/>
        <v>0</v>
      </c>
      <c r="Q82" s="77"/>
      <c r="R82" s="104" t="str">
        <f t="shared" si="8"/>
        <v/>
      </c>
      <c r="S82" s="77"/>
      <c r="T82" s="76"/>
    </row>
    <row r="83" spans="1:20" ht="15" customHeight="1" x14ac:dyDescent="0.25">
      <c r="A83" s="77"/>
      <c r="B83" s="77"/>
      <c r="C83" s="77"/>
      <c r="D83" s="77"/>
      <c r="E83" s="77"/>
      <c r="F83" s="77"/>
      <c r="G83" s="77"/>
      <c r="H83" s="77"/>
      <c r="I83" s="103"/>
      <c r="J83" s="103"/>
      <c r="K83" s="103"/>
      <c r="L83" s="103"/>
      <c r="M83" s="77"/>
      <c r="N83" s="77"/>
      <c r="O83" s="104" t="str">
        <f t="shared" si="6"/>
        <v/>
      </c>
      <c r="P83" s="105">
        <f t="shared" si="7"/>
        <v>0</v>
      </c>
      <c r="Q83" s="77"/>
      <c r="R83" s="104" t="str">
        <f t="shared" si="8"/>
        <v/>
      </c>
      <c r="S83" s="77"/>
      <c r="T83" s="76"/>
    </row>
    <row r="84" spans="1:20" ht="15" customHeight="1" x14ac:dyDescent="0.25">
      <c r="A84" s="77"/>
      <c r="B84" s="77"/>
      <c r="C84" s="77"/>
      <c r="D84" s="77"/>
      <c r="E84" s="77"/>
      <c r="F84" s="77"/>
      <c r="G84" s="77"/>
      <c r="H84" s="77"/>
      <c r="I84" s="103"/>
      <c r="J84" s="103"/>
      <c r="K84" s="103"/>
      <c r="L84" s="103"/>
      <c r="M84" s="77"/>
      <c r="N84" s="77"/>
      <c r="O84" s="104" t="str">
        <f t="shared" si="6"/>
        <v/>
      </c>
      <c r="P84" s="105">
        <f t="shared" si="7"/>
        <v>0</v>
      </c>
      <c r="Q84" s="77"/>
      <c r="R84" s="104" t="str">
        <f t="shared" si="8"/>
        <v/>
      </c>
      <c r="S84" s="77"/>
      <c r="T84" s="76"/>
    </row>
    <row r="85" spans="1:20" ht="15" customHeight="1" x14ac:dyDescent="0.25">
      <c r="A85" s="77"/>
      <c r="B85" s="77"/>
      <c r="C85" s="77"/>
      <c r="D85" s="77"/>
      <c r="E85" s="77"/>
      <c r="F85" s="77"/>
      <c r="G85" s="77"/>
      <c r="H85" s="77"/>
      <c r="I85" s="103"/>
      <c r="J85" s="103"/>
      <c r="K85" s="103"/>
      <c r="L85" s="103"/>
      <c r="M85" s="77"/>
      <c r="N85" s="77"/>
      <c r="O85" s="104" t="str">
        <f t="shared" si="6"/>
        <v/>
      </c>
      <c r="P85" s="105">
        <f t="shared" si="7"/>
        <v>0</v>
      </c>
      <c r="Q85" s="77"/>
      <c r="R85" s="104" t="str">
        <f t="shared" si="8"/>
        <v/>
      </c>
      <c r="S85" s="77"/>
      <c r="T85" s="76"/>
    </row>
    <row r="86" spans="1:20" ht="15" customHeight="1" x14ac:dyDescent="0.25">
      <c r="A86" s="77"/>
      <c r="B86" s="77"/>
      <c r="C86" s="77"/>
      <c r="D86" s="77"/>
      <c r="E86" s="77"/>
      <c r="F86" s="77"/>
      <c r="G86" s="77"/>
      <c r="H86" s="77"/>
      <c r="I86" s="103"/>
      <c r="J86" s="103"/>
      <c r="K86" s="103"/>
      <c r="L86" s="103"/>
      <c r="M86" s="77"/>
      <c r="N86" s="77"/>
      <c r="O86" s="104" t="str">
        <f t="shared" si="6"/>
        <v/>
      </c>
      <c r="P86" s="105">
        <f t="shared" si="7"/>
        <v>0</v>
      </c>
      <c r="Q86" s="77"/>
      <c r="R86" s="104" t="str">
        <f t="shared" si="8"/>
        <v/>
      </c>
      <c r="S86" s="77"/>
      <c r="T86" s="76"/>
    </row>
    <row r="87" spans="1:20" ht="15" customHeight="1" x14ac:dyDescent="0.25">
      <c r="A87" s="77"/>
      <c r="B87" s="77"/>
      <c r="C87" s="77"/>
      <c r="D87" s="77"/>
      <c r="E87" s="77"/>
      <c r="F87" s="77"/>
      <c r="G87" s="77"/>
      <c r="H87" s="77"/>
      <c r="I87" s="103"/>
      <c r="J87" s="103"/>
      <c r="K87" s="103"/>
      <c r="L87" s="103"/>
      <c r="M87" s="77"/>
      <c r="N87" s="77"/>
      <c r="O87" s="104" t="str">
        <f t="shared" si="6"/>
        <v/>
      </c>
      <c r="P87" s="105">
        <f t="shared" si="7"/>
        <v>0</v>
      </c>
      <c r="Q87" s="77"/>
      <c r="R87" s="104" t="str">
        <f t="shared" si="8"/>
        <v/>
      </c>
      <c r="S87" s="77"/>
      <c r="T87" s="76"/>
    </row>
    <row r="88" spans="1:20" ht="15" customHeight="1" x14ac:dyDescent="0.25">
      <c r="A88" s="77"/>
      <c r="B88" s="77"/>
      <c r="C88" s="77"/>
      <c r="D88" s="77"/>
      <c r="E88" s="77"/>
      <c r="F88" s="77"/>
      <c r="G88" s="77"/>
      <c r="H88" s="77"/>
      <c r="I88" s="103"/>
      <c r="J88" s="103"/>
      <c r="K88" s="103"/>
      <c r="L88" s="103"/>
      <c r="M88" s="77"/>
      <c r="N88" s="77"/>
      <c r="O88" s="104" t="str">
        <f t="shared" si="6"/>
        <v/>
      </c>
      <c r="P88" s="105">
        <f t="shared" si="7"/>
        <v>0</v>
      </c>
      <c r="Q88" s="77"/>
      <c r="R88" s="104" t="str">
        <f t="shared" si="8"/>
        <v/>
      </c>
      <c r="S88" s="77"/>
      <c r="T88" s="76"/>
    </row>
    <row r="89" spans="1:20" ht="15" customHeight="1" x14ac:dyDescent="0.25">
      <c r="A89" s="77"/>
      <c r="B89" s="77"/>
      <c r="C89" s="77"/>
      <c r="D89" s="77"/>
      <c r="E89" s="77"/>
      <c r="F89" s="77"/>
      <c r="G89" s="77"/>
      <c r="H89" s="77"/>
      <c r="I89" s="103"/>
      <c r="J89" s="103"/>
      <c r="K89" s="103"/>
      <c r="L89" s="103"/>
      <c r="M89" s="77"/>
      <c r="N89" s="77"/>
      <c r="O89" s="104" t="str">
        <f t="shared" si="6"/>
        <v/>
      </c>
      <c r="P89" s="105">
        <f t="shared" si="7"/>
        <v>0</v>
      </c>
      <c r="Q89" s="77"/>
      <c r="R89" s="104" t="str">
        <f t="shared" si="8"/>
        <v/>
      </c>
      <c r="S89" s="77"/>
      <c r="T89" s="76"/>
    </row>
    <row r="90" spans="1:20" ht="15" customHeight="1" x14ac:dyDescent="0.25">
      <c r="A90" s="77"/>
      <c r="B90" s="77"/>
      <c r="C90" s="77"/>
      <c r="D90" s="77"/>
      <c r="E90" s="77"/>
      <c r="F90" s="77"/>
      <c r="G90" s="77"/>
      <c r="H90" s="77"/>
      <c r="I90" s="103"/>
      <c r="J90" s="103"/>
      <c r="K90" s="103"/>
      <c r="L90" s="103"/>
      <c r="M90" s="77"/>
      <c r="N90" s="77"/>
      <c r="O90" s="104" t="str">
        <f t="shared" si="6"/>
        <v/>
      </c>
      <c r="P90" s="105">
        <f t="shared" si="7"/>
        <v>0</v>
      </c>
      <c r="Q90" s="77"/>
      <c r="R90" s="104" t="str">
        <f t="shared" si="8"/>
        <v/>
      </c>
      <c r="S90" s="77"/>
      <c r="T90" s="76"/>
    </row>
    <row r="91" spans="1:20" ht="15" customHeight="1" x14ac:dyDescent="0.25">
      <c r="A91" s="77"/>
      <c r="B91" s="77"/>
      <c r="C91" s="77"/>
      <c r="D91" s="77"/>
      <c r="E91" s="77"/>
      <c r="F91" s="77"/>
      <c r="G91" s="77"/>
      <c r="H91" s="77"/>
      <c r="I91" s="103"/>
      <c r="J91" s="103"/>
      <c r="K91" s="103"/>
      <c r="L91" s="103"/>
      <c r="M91" s="77"/>
      <c r="N91" s="77"/>
      <c r="O91" s="104" t="str">
        <f t="shared" si="6"/>
        <v/>
      </c>
      <c r="P91" s="105">
        <f t="shared" si="7"/>
        <v>0</v>
      </c>
      <c r="Q91" s="77"/>
      <c r="R91" s="104" t="str">
        <f t="shared" si="8"/>
        <v/>
      </c>
      <c r="S91" s="77"/>
      <c r="T91" s="76"/>
    </row>
    <row r="92" spans="1:20" ht="15" customHeight="1" x14ac:dyDescent="0.25">
      <c r="A92" s="77"/>
      <c r="B92" s="77"/>
      <c r="C92" s="77"/>
      <c r="D92" s="77"/>
      <c r="E92" s="77"/>
      <c r="F92" s="77"/>
      <c r="G92" s="77"/>
      <c r="H92" s="77"/>
      <c r="I92" s="103"/>
      <c r="J92" s="103"/>
      <c r="K92" s="103"/>
      <c r="L92" s="103"/>
      <c r="M92" s="77"/>
      <c r="N92" s="77"/>
      <c r="O92" s="104" t="str">
        <f t="shared" si="6"/>
        <v/>
      </c>
      <c r="P92" s="105">
        <f t="shared" si="7"/>
        <v>0</v>
      </c>
      <c r="Q92" s="77"/>
      <c r="R92" s="104" t="str">
        <f t="shared" si="8"/>
        <v/>
      </c>
      <c r="S92" s="77"/>
      <c r="T92" s="76"/>
    </row>
    <row r="93" spans="1:20" ht="15" customHeight="1" x14ac:dyDescent="0.25">
      <c r="A93" s="77"/>
      <c r="B93" s="77"/>
      <c r="C93" s="77"/>
      <c r="D93" s="77"/>
      <c r="E93" s="77"/>
      <c r="F93" s="77"/>
      <c r="G93" s="77"/>
      <c r="H93" s="77"/>
      <c r="I93" s="103"/>
      <c r="J93" s="103"/>
      <c r="K93" s="103"/>
      <c r="L93" s="103"/>
      <c r="M93" s="77"/>
      <c r="N93" s="77"/>
      <c r="O93" s="104" t="str">
        <f t="shared" si="6"/>
        <v/>
      </c>
      <c r="P93" s="105">
        <f t="shared" si="7"/>
        <v>0</v>
      </c>
      <c r="Q93" s="77"/>
      <c r="R93" s="104" t="str">
        <f t="shared" si="8"/>
        <v/>
      </c>
      <c r="S93" s="77"/>
      <c r="T93" s="76"/>
    </row>
    <row r="94" spans="1:20" ht="15" customHeight="1" x14ac:dyDescent="0.25">
      <c r="A94" s="77"/>
      <c r="B94" s="77"/>
      <c r="C94" s="77"/>
      <c r="D94" s="77"/>
      <c r="E94" s="77"/>
      <c r="F94" s="77"/>
      <c r="G94" s="77"/>
      <c r="H94" s="77"/>
      <c r="I94" s="103"/>
      <c r="J94" s="103"/>
      <c r="K94" s="103"/>
      <c r="L94" s="103"/>
      <c r="M94" s="77"/>
      <c r="N94" s="77"/>
      <c r="O94" s="104" t="str">
        <f t="shared" si="6"/>
        <v/>
      </c>
      <c r="P94" s="105">
        <f t="shared" si="7"/>
        <v>0</v>
      </c>
      <c r="Q94" s="77"/>
      <c r="R94" s="104" t="str">
        <f t="shared" si="8"/>
        <v/>
      </c>
      <c r="S94" s="77"/>
      <c r="T94" s="76"/>
    </row>
    <row r="95" spans="1:20" ht="15" customHeight="1" x14ac:dyDescent="0.25">
      <c r="A95" s="77"/>
      <c r="B95" s="77"/>
      <c r="C95" s="77"/>
      <c r="D95" s="77"/>
      <c r="E95" s="77"/>
      <c r="F95" s="77"/>
      <c r="G95" s="77"/>
      <c r="H95" s="77"/>
      <c r="I95" s="103"/>
      <c r="J95" s="103"/>
      <c r="K95" s="103"/>
      <c r="L95" s="103"/>
      <c r="M95" s="77"/>
      <c r="N95" s="77"/>
      <c r="O95" s="104" t="str">
        <f t="shared" si="6"/>
        <v/>
      </c>
      <c r="P95" s="105">
        <f t="shared" si="7"/>
        <v>0</v>
      </c>
      <c r="Q95" s="77"/>
      <c r="R95" s="104" t="str">
        <f t="shared" si="8"/>
        <v/>
      </c>
      <c r="S95" s="77"/>
      <c r="T95" s="76"/>
    </row>
    <row r="96" spans="1:20" ht="15" customHeight="1" x14ac:dyDescent="0.25">
      <c r="A96" s="77"/>
      <c r="B96" s="77"/>
      <c r="C96" s="77"/>
      <c r="D96" s="77"/>
      <c r="E96" s="77"/>
      <c r="F96" s="77"/>
      <c r="G96" s="77"/>
      <c r="H96" s="77"/>
      <c r="I96" s="103"/>
      <c r="J96" s="103"/>
      <c r="K96" s="103"/>
      <c r="L96" s="103"/>
      <c r="M96" s="77"/>
      <c r="N96" s="77"/>
      <c r="O96" s="104" t="str">
        <f t="shared" si="6"/>
        <v/>
      </c>
      <c r="P96" s="105">
        <f t="shared" si="7"/>
        <v>0</v>
      </c>
      <c r="Q96" s="77"/>
      <c r="R96" s="104" t="str">
        <f t="shared" si="8"/>
        <v/>
      </c>
      <c r="S96" s="77"/>
      <c r="T96" s="76"/>
    </row>
    <row r="97" spans="1:20" ht="15" customHeight="1" x14ac:dyDescent="0.25">
      <c r="A97" s="77"/>
      <c r="B97" s="77"/>
      <c r="C97" s="77"/>
      <c r="D97" s="77"/>
      <c r="E97" s="77"/>
      <c r="F97" s="77"/>
      <c r="G97" s="77"/>
      <c r="H97" s="77"/>
      <c r="I97" s="103"/>
      <c r="J97" s="103"/>
      <c r="K97" s="103"/>
      <c r="L97" s="103"/>
      <c r="M97" s="77"/>
      <c r="N97" s="77"/>
      <c r="O97" s="104" t="str">
        <f t="shared" si="6"/>
        <v/>
      </c>
      <c r="P97" s="105">
        <f t="shared" si="7"/>
        <v>0</v>
      </c>
      <c r="Q97" s="77"/>
      <c r="R97" s="104" t="str">
        <f t="shared" si="8"/>
        <v/>
      </c>
      <c r="S97" s="77"/>
      <c r="T97" s="76"/>
    </row>
    <row r="98" spans="1:20" ht="15" customHeight="1" x14ac:dyDescent="0.25">
      <c r="A98" s="77"/>
      <c r="B98" s="77"/>
      <c r="C98" s="77"/>
      <c r="D98" s="77"/>
      <c r="E98" s="77"/>
      <c r="F98" s="77"/>
      <c r="G98" s="77"/>
      <c r="H98" s="77"/>
      <c r="I98" s="103"/>
      <c r="J98" s="103"/>
      <c r="K98" s="103"/>
      <c r="L98" s="103"/>
      <c r="M98" s="77"/>
      <c r="N98" s="77"/>
      <c r="O98" s="104" t="str">
        <f t="shared" si="6"/>
        <v/>
      </c>
      <c r="P98" s="105">
        <f t="shared" si="7"/>
        <v>0</v>
      </c>
      <c r="Q98" s="77"/>
      <c r="R98" s="104" t="str">
        <f t="shared" si="8"/>
        <v/>
      </c>
      <c r="S98" s="77"/>
      <c r="T98" s="76"/>
    </row>
    <row r="99" spans="1:20" ht="15" customHeight="1" x14ac:dyDescent="0.25">
      <c r="A99" s="77"/>
      <c r="B99" s="77"/>
      <c r="C99" s="77"/>
      <c r="D99" s="77"/>
      <c r="E99" s="77"/>
      <c r="F99" s="77"/>
      <c r="G99" s="77"/>
      <c r="H99" s="77"/>
      <c r="I99" s="103"/>
      <c r="J99" s="103"/>
      <c r="K99" s="103"/>
      <c r="L99" s="103"/>
      <c r="M99" s="77"/>
      <c r="N99" s="77"/>
      <c r="O99" s="104" t="str">
        <f t="shared" ref="O99:O102" si="9">IF(M99="","",M99-N99)</f>
        <v/>
      </c>
      <c r="P99" s="105">
        <f t="shared" ref="P99:P102" si="10">IFERROR(O99/M99,0)</f>
        <v>0</v>
      </c>
      <c r="Q99" s="77"/>
      <c r="R99" s="104" t="str">
        <f t="shared" ref="R99:R102" si="11">IF(M99="","",M99-Q99)</f>
        <v/>
      </c>
      <c r="S99" s="77"/>
      <c r="T99" s="76"/>
    </row>
    <row r="100" spans="1:20" ht="15" customHeight="1" x14ac:dyDescent="0.25">
      <c r="A100" s="77"/>
      <c r="B100" s="77"/>
      <c r="C100" s="77"/>
      <c r="D100" s="77"/>
      <c r="E100" s="77"/>
      <c r="F100" s="77"/>
      <c r="G100" s="77"/>
      <c r="H100" s="77"/>
      <c r="I100" s="103"/>
      <c r="J100" s="103"/>
      <c r="K100" s="103"/>
      <c r="L100" s="103"/>
      <c r="M100" s="77"/>
      <c r="N100" s="77"/>
      <c r="O100" s="104" t="str">
        <f t="shared" si="9"/>
        <v/>
      </c>
      <c r="P100" s="105">
        <f t="shared" si="10"/>
        <v>0</v>
      </c>
      <c r="Q100" s="77"/>
      <c r="R100" s="104" t="str">
        <f t="shared" si="11"/>
        <v/>
      </c>
      <c r="S100" s="77"/>
      <c r="T100" s="76"/>
    </row>
    <row r="101" spans="1:20" ht="15" customHeight="1" x14ac:dyDescent="0.25">
      <c r="A101" s="77"/>
      <c r="B101" s="77"/>
      <c r="C101" s="77"/>
      <c r="D101" s="77"/>
      <c r="E101" s="77"/>
      <c r="F101" s="77"/>
      <c r="G101" s="77"/>
      <c r="H101" s="77"/>
      <c r="I101" s="103"/>
      <c r="J101" s="103"/>
      <c r="K101" s="103"/>
      <c r="L101" s="103"/>
      <c r="M101" s="77"/>
      <c r="N101" s="77"/>
      <c r="O101" s="104" t="str">
        <f t="shared" si="9"/>
        <v/>
      </c>
      <c r="P101" s="105">
        <f t="shared" si="10"/>
        <v>0</v>
      </c>
      <c r="Q101" s="77"/>
      <c r="R101" s="104" t="str">
        <f t="shared" si="11"/>
        <v/>
      </c>
      <c r="S101" s="77"/>
      <c r="T101" s="76"/>
    </row>
    <row r="102" spans="1:20" ht="15" customHeight="1" x14ac:dyDescent="0.25">
      <c r="A102" s="77"/>
      <c r="B102" s="77"/>
      <c r="C102" s="77"/>
      <c r="D102" s="77"/>
      <c r="E102" s="77"/>
      <c r="F102" s="77"/>
      <c r="G102" s="77"/>
      <c r="H102" s="77"/>
      <c r="I102" s="103"/>
      <c r="J102" s="103"/>
      <c r="K102" s="103"/>
      <c r="L102" s="103"/>
      <c r="M102" s="77"/>
      <c r="N102" s="77"/>
      <c r="O102" s="104" t="str">
        <f t="shared" si="9"/>
        <v/>
      </c>
      <c r="P102" s="105">
        <f t="shared" si="10"/>
        <v>0</v>
      </c>
      <c r="Q102" s="77"/>
      <c r="R102" s="104" t="str">
        <f t="shared" si="11"/>
        <v/>
      </c>
      <c r="S102" s="77"/>
      <c r="T102" s="76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T1"/>
  </mergeCells>
  <conditionalFormatting sqref="E3:E102">
    <cfRule type="expression" dxfId="73" priority="2">
      <formula>$E3="Delayed"</formula>
    </cfRule>
    <cfRule type="expression" dxfId="72" priority="3">
      <formula>$E3="Completed"</formula>
    </cfRule>
    <cfRule type="expression" dxfId="71" priority="4">
      <formula>$E3="Cancelled"</formula>
    </cfRule>
  </conditionalFormatting>
  <conditionalFormatting sqref="J3:J102">
    <cfRule type="expression" dxfId="70" priority="5">
      <formula>AND(ISNUMBER($J3),$J3&lt;TODAY(),$E3&lt;&gt;"Completed",$E3&lt;&gt;"Cancelled")</formula>
    </cfRule>
  </conditionalFormatting>
  <conditionalFormatting sqref="S3:S102">
    <cfRule type="cellIs" dxfId="69" priority="6" operator="greaterThan">
      <formula>0</formula>
    </cfRule>
  </conditionalFormatting>
  <dataValidations count="3">
    <dataValidation type="list" allowBlank="1" sqref="D3:D102" xr:uid="{00000000-0002-0000-0500-000000000000}">
      <formula1>List_Categories</formula1>
      <formula2>0</formula2>
    </dataValidation>
    <dataValidation type="list" allowBlank="1" sqref="E3:E102" xr:uid="{00000000-0002-0000-0500-000001000000}">
      <formula1>List_Statuses</formula1>
      <formula2>0</formula2>
    </dataValidation>
    <dataValidation type="list" allowBlank="1" sqref="F3:F102" xr:uid="{00000000-0002-0000-0500-000002000000}">
      <formula1>List_Priorities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48235"/>
  </sheetPr>
  <dimension ref="A1:L102"/>
  <sheetViews>
    <sheetView zoomScaleNormal="100" workbookViewId="0">
      <pane ySplit="2" topLeftCell="A3" activePane="bottomLeft" state="frozen"/>
      <selection pane="bottomLeft" sqref="A1:L1"/>
    </sheetView>
  </sheetViews>
  <sheetFormatPr defaultColWidth="8.7109375" defaultRowHeight="15" x14ac:dyDescent="0.25"/>
  <cols>
    <col min="1" max="1" width="12" customWidth="1"/>
    <col min="2" max="2" width="26" customWidth="1"/>
    <col min="3" max="3" width="20" customWidth="1"/>
    <col min="4" max="4" width="16" customWidth="1"/>
    <col min="5" max="5" width="24" customWidth="1"/>
    <col min="6" max="6" width="30" customWidth="1"/>
    <col min="7" max="7" width="14" customWidth="1"/>
    <col min="8" max="8" width="12" customWidth="1"/>
    <col min="9" max="10" width="14" customWidth="1"/>
    <col min="11" max="11" width="16" customWidth="1"/>
    <col min="12" max="12" width="30" customWidth="1"/>
  </cols>
  <sheetData>
    <row r="1" spans="1:12" ht="30" customHeight="1" x14ac:dyDescent="0.25">
      <c r="A1" s="71" t="s">
        <v>394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7.75" customHeight="1" x14ac:dyDescent="0.25">
      <c r="A2" s="63" t="s">
        <v>395</v>
      </c>
      <c r="B2" s="63" t="s">
        <v>396</v>
      </c>
      <c r="C2" s="63" t="s">
        <v>397</v>
      </c>
      <c r="D2" s="63" t="s">
        <v>217</v>
      </c>
      <c r="E2" s="63" t="s">
        <v>218</v>
      </c>
      <c r="F2" s="63" t="s">
        <v>398</v>
      </c>
      <c r="G2" s="63" t="s">
        <v>399</v>
      </c>
      <c r="H2" s="63" t="s">
        <v>334</v>
      </c>
      <c r="I2" s="63" t="s">
        <v>400</v>
      </c>
      <c r="J2" s="63" t="s">
        <v>401</v>
      </c>
      <c r="K2" s="63" t="s">
        <v>402</v>
      </c>
      <c r="L2" s="63" t="s">
        <v>226</v>
      </c>
    </row>
    <row r="3" spans="1:12" ht="15" customHeight="1" x14ac:dyDescent="0.25">
      <c r="A3" s="92" t="s">
        <v>403</v>
      </c>
      <c r="B3" s="106" t="s">
        <v>349</v>
      </c>
      <c r="C3" s="93" t="s">
        <v>404</v>
      </c>
      <c r="D3" s="93" t="s">
        <v>405</v>
      </c>
      <c r="E3" s="93" t="s">
        <v>406</v>
      </c>
      <c r="F3" s="106" t="s">
        <v>407</v>
      </c>
      <c r="G3" s="93"/>
      <c r="H3" s="93" t="s">
        <v>408</v>
      </c>
      <c r="I3" s="94">
        <v>45910</v>
      </c>
      <c r="J3" s="94">
        <v>46113</v>
      </c>
      <c r="K3" s="95">
        <f>IF(B3="","",SUMIFS(Project_Quoted,Project_List!$B$3:$B$102,B3))</f>
        <v>18500</v>
      </c>
      <c r="L3" s="76"/>
    </row>
    <row r="4" spans="1:12" ht="15" customHeight="1" x14ac:dyDescent="0.25">
      <c r="A4" s="92" t="s">
        <v>409</v>
      </c>
      <c r="B4" s="106" t="s">
        <v>354</v>
      </c>
      <c r="C4" s="93" t="s">
        <v>410</v>
      </c>
      <c r="D4" s="93" t="s">
        <v>411</v>
      </c>
      <c r="E4" s="93" t="s">
        <v>412</v>
      </c>
      <c r="F4" s="106" t="s">
        <v>413</v>
      </c>
      <c r="G4" s="93"/>
      <c r="H4" s="93" t="s">
        <v>408</v>
      </c>
      <c r="I4" s="94">
        <v>45976</v>
      </c>
      <c r="J4" s="94">
        <v>46108</v>
      </c>
      <c r="K4" s="95">
        <f>IF(B4="","",SUMIFS(Project_Quoted,Project_List!$B$3:$B$102,B4))</f>
        <v>6800</v>
      </c>
      <c r="L4" s="76"/>
    </row>
    <row r="5" spans="1:12" ht="26.25" customHeight="1" x14ac:dyDescent="0.25">
      <c r="A5" s="92" t="s">
        <v>414</v>
      </c>
      <c r="B5" s="106" t="s">
        <v>360</v>
      </c>
      <c r="C5" s="93" t="s">
        <v>415</v>
      </c>
      <c r="D5" s="93" t="s">
        <v>416</v>
      </c>
      <c r="E5" s="93" t="s">
        <v>417</v>
      </c>
      <c r="F5" s="106" t="s">
        <v>418</v>
      </c>
      <c r="G5" s="93" t="s">
        <v>419</v>
      </c>
      <c r="H5" s="93" t="s">
        <v>420</v>
      </c>
      <c r="I5" s="94">
        <v>45616</v>
      </c>
      <c r="J5" s="94">
        <v>46129</v>
      </c>
      <c r="K5" s="95">
        <f>IF(B5="","",SUMIFS(Project_Quoted,Project_List!$B$3:$B$102,B5))</f>
        <v>4200</v>
      </c>
      <c r="L5" s="76"/>
    </row>
    <row r="6" spans="1:12" ht="26.25" customHeight="1" x14ac:dyDescent="0.25">
      <c r="A6" s="92" t="s">
        <v>421</v>
      </c>
      <c r="B6" s="106" t="s">
        <v>364</v>
      </c>
      <c r="C6" s="93" t="s">
        <v>422</v>
      </c>
      <c r="D6" s="93" t="s">
        <v>423</v>
      </c>
      <c r="E6" s="93" t="s">
        <v>424</v>
      </c>
      <c r="F6" s="106" t="s">
        <v>425</v>
      </c>
      <c r="G6" s="93" t="s">
        <v>426</v>
      </c>
      <c r="H6" s="93" t="s">
        <v>420</v>
      </c>
      <c r="I6" s="94">
        <v>45656</v>
      </c>
      <c r="J6" s="94">
        <v>46114</v>
      </c>
      <c r="K6" s="95">
        <f>IF(B6="","",SUMIFS(Project_Quoted,Project_List!$B$3:$B$102,B6))</f>
        <v>3800</v>
      </c>
      <c r="L6" s="76"/>
    </row>
    <row r="7" spans="1:12" ht="15" customHeight="1" x14ac:dyDescent="0.25">
      <c r="A7" s="92" t="s">
        <v>427</v>
      </c>
      <c r="B7" s="106" t="s">
        <v>370</v>
      </c>
      <c r="C7" s="93" t="s">
        <v>428</v>
      </c>
      <c r="D7" s="93" t="s">
        <v>429</v>
      </c>
      <c r="E7" s="93"/>
      <c r="F7" s="106" t="s">
        <v>430</v>
      </c>
      <c r="G7" s="93"/>
      <c r="H7" s="93" t="s">
        <v>408</v>
      </c>
      <c r="I7" s="94">
        <v>46062</v>
      </c>
      <c r="J7" s="94">
        <v>46062</v>
      </c>
      <c r="K7" s="95">
        <f>IF(B7="","",SUMIFS(Project_Quoted,Project_List!$B$3:$B$102,B7))</f>
        <v>4500</v>
      </c>
      <c r="L7" s="76"/>
    </row>
    <row r="8" spans="1:12" ht="15" customHeight="1" x14ac:dyDescent="0.25">
      <c r="A8" s="92" t="s">
        <v>431</v>
      </c>
      <c r="B8" s="106" t="s">
        <v>374</v>
      </c>
      <c r="C8" s="93" t="s">
        <v>432</v>
      </c>
      <c r="D8" s="93" t="s">
        <v>433</v>
      </c>
      <c r="E8" s="93" t="s">
        <v>434</v>
      </c>
      <c r="F8" s="106" t="s">
        <v>435</v>
      </c>
      <c r="G8" s="93"/>
      <c r="H8" s="93" t="s">
        <v>408</v>
      </c>
      <c r="I8" s="94">
        <v>46032</v>
      </c>
      <c r="J8" s="94">
        <v>46127</v>
      </c>
      <c r="K8" s="95">
        <f>IF(B8="","",SUMIFS(Project_Quoted,Project_List!$B$3:$B$102,B8))</f>
        <v>22500</v>
      </c>
      <c r="L8" s="76"/>
    </row>
    <row r="9" spans="1:12" ht="15" customHeight="1" x14ac:dyDescent="0.25">
      <c r="A9" s="92" t="s">
        <v>436</v>
      </c>
      <c r="B9" s="106" t="s">
        <v>378</v>
      </c>
      <c r="C9" s="93" t="s">
        <v>437</v>
      </c>
      <c r="D9" s="93" t="s">
        <v>438</v>
      </c>
      <c r="E9" s="93" t="s">
        <v>439</v>
      </c>
      <c r="F9" s="106" t="s">
        <v>440</v>
      </c>
      <c r="G9" s="93"/>
      <c r="H9" s="93" t="s">
        <v>408</v>
      </c>
      <c r="I9" s="94">
        <v>46054</v>
      </c>
      <c r="J9" s="94">
        <v>46117</v>
      </c>
      <c r="K9" s="95">
        <f>IF(B9="","",SUMIFS(Project_Quoted,Project_List!$B$3:$B$102,B9))</f>
        <v>9200</v>
      </c>
      <c r="L9" s="76"/>
    </row>
    <row r="10" spans="1:12" ht="15" customHeight="1" x14ac:dyDescent="0.25">
      <c r="A10" s="92" t="s">
        <v>441</v>
      </c>
      <c r="B10" s="106" t="s">
        <v>380</v>
      </c>
      <c r="C10" s="93" t="s">
        <v>442</v>
      </c>
      <c r="D10" s="93" t="s">
        <v>443</v>
      </c>
      <c r="E10" s="93"/>
      <c r="F10" s="106" t="s">
        <v>444</v>
      </c>
      <c r="G10" s="93"/>
      <c r="H10" s="93" t="s">
        <v>408</v>
      </c>
      <c r="I10" s="94">
        <v>46096</v>
      </c>
      <c r="J10" s="94">
        <v>46122</v>
      </c>
      <c r="K10" s="95">
        <f>IF(B10="","",SUMIFS(Project_Quoted,Project_List!$B$3:$B$102,B10))</f>
        <v>11400</v>
      </c>
      <c r="L10" s="76"/>
    </row>
    <row r="11" spans="1:12" ht="15" customHeight="1" x14ac:dyDescent="0.25">
      <c r="A11" s="92" t="s">
        <v>445</v>
      </c>
      <c r="B11" s="106" t="s">
        <v>383</v>
      </c>
      <c r="C11" s="93" t="s">
        <v>446</v>
      </c>
      <c r="D11" s="93" t="s">
        <v>447</v>
      </c>
      <c r="E11" s="93"/>
      <c r="F11" s="106" t="s">
        <v>448</v>
      </c>
      <c r="G11" s="93"/>
      <c r="H11" s="93" t="s">
        <v>408</v>
      </c>
      <c r="I11" s="94">
        <v>46101</v>
      </c>
      <c r="J11" s="94">
        <v>46124</v>
      </c>
      <c r="K11" s="95">
        <f>IF(B11="","",SUMIFS(Project_Quoted,Project_List!$B$3:$B$102,B11))</f>
        <v>16800</v>
      </c>
      <c r="L11" s="76"/>
    </row>
    <row r="12" spans="1:12" ht="15" customHeight="1" x14ac:dyDescent="0.25">
      <c r="A12" s="92" t="s">
        <v>449</v>
      </c>
      <c r="B12" s="106" t="s">
        <v>386</v>
      </c>
      <c r="C12" s="93" t="s">
        <v>450</v>
      </c>
      <c r="D12" s="93" t="s">
        <v>451</v>
      </c>
      <c r="E12" s="93" t="s">
        <v>452</v>
      </c>
      <c r="F12" s="106" t="s">
        <v>453</v>
      </c>
      <c r="G12" s="93"/>
      <c r="H12" s="93" t="s">
        <v>408</v>
      </c>
      <c r="I12" s="94">
        <v>46047</v>
      </c>
      <c r="J12" s="94">
        <v>46127</v>
      </c>
      <c r="K12" s="95">
        <f>IF(B12="","",SUMIFS(Project_Quoted,Project_List!$B$3:$B$102,B12))</f>
        <v>2800</v>
      </c>
      <c r="L12" s="76"/>
    </row>
    <row r="13" spans="1:12" ht="15" customHeight="1" x14ac:dyDescent="0.25">
      <c r="A13" s="92" t="s">
        <v>454</v>
      </c>
      <c r="B13" s="106" t="s">
        <v>388</v>
      </c>
      <c r="C13" s="93" t="s">
        <v>388</v>
      </c>
      <c r="D13" s="93" t="s">
        <v>455</v>
      </c>
      <c r="E13" s="93"/>
      <c r="F13" s="106" t="s">
        <v>372</v>
      </c>
      <c r="G13" s="93"/>
      <c r="H13" s="93" t="s">
        <v>408</v>
      </c>
      <c r="I13" s="94">
        <v>46011</v>
      </c>
      <c r="J13" s="94">
        <v>46130</v>
      </c>
      <c r="K13" s="95">
        <f>IF(B13="","",SUMIFS(Project_Quoted,Project_List!$B$3:$B$102,B13))</f>
        <v>5600</v>
      </c>
      <c r="L13" s="76"/>
    </row>
    <row r="14" spans="1:12" ht="15" customHeight="1" x14ac:dyDescent="0.25">
      <c r="A14" s="92" t="s">
        <v>456</v>
      </c>
      <c r="B14" s="106" t="s">
        <v>391</v>
      </c>
      <c r="C14" s="93" t="s">
        <v>391</v>
      </c>
      <c r="D14" s="93" t="s">
        <v>457</v>
      </c>
      <c r="E14" s="93" t="s">
        <v>458</v>
      </c>
      <c r="F14" s="106" t="s">
        <v>459</v>
      </c>
      <c r="G14" s="93"/>
      <c r="H14" s="93" t="s">
        <v>408</v>
      </c>
      <c r="I14" s="94">
        <v>46113</v>
      </c>
      <c r="J14" s="94">
        <v>46132</v>
      </c>
      <c r="K14" s="95">
        <f>IF(B14="","",SUMIFS(Project_Quoted,Project_List!$B$3:$B$102,B14))</f>
        <v>28500</v>
      </c>
      <c r="L14" s="76"/>
    </row>
    <row r="15" spans="1:12" ht="1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95" t="str">
        <f>IF(B15="","",SUMIFS(Project_Quoted,Project_List!$B$3:$B$102,B15))</f>
        <v/>
      </c>
      <c r="L15" s="76"/>
    </row>
    <row r="16" spans="1:12" ht="15" customHeight="1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95" t="str">
        <f>IF(B16="","",SUMIFS(Project_Quoted,Project_List!$B$3:$B$102,B16))</f>
        <v/>
      </c>
      <c r="L16" s="76"/>
    </row>
    <row r="17" spans="1:12" ht="15" customHeight="1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95" t="str">
        <f>IF(B17="","",SUMIFS(Project_Quoted,Project_List!$B$3:$B$102,B17))</f>
        <v/>
      </c>
      <c r="L17" s="76"/>
    </row>
    <row r="18" spans="1:12" ht="15" customHeight="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95" t="str">
        <f>IF(B18="","",SUMIFS(Project_Quoted,Project_List!$B$3:$B$102,B18))</f>
        <v/>
      </c>
      <c r="L18" s="76"/>
    </row>
    <row r="19" spans="1:12" ht="15" customHeight="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95" t="str">
        <f>IF(B19="","",SUMIFS(Project_Quoted,Project_List!$B$3:$B$102,B19))</f>
        <v/>
      </c>
      <c r="L19" s="76"/>
    </row>
    <row r="20" spans="1:12" ht="15" customHeight="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95" t="str">
        <f>IF(B20="","",SUMIFS(Project_Quoted,Project_List!$B$3:$B$102,B20))</f>
        <v/>
      </c>
      <c r="L20" s="76"/>
    </row>
    <row r="21" spans="1:12" ht="15" customHeight="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95" t="str">
        <f>IF(B21="","",SUMIFS(Project_Quoted,Project_List!$B$3:$B$102,B21))</f>
        <v/>
      </c>
      <c r="L21" s="76"/>
    </row>
    <row r="22" spans="1:12" ht="15" customHeight="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95" t="str">
        <f>IF(B22="","",SUMIFS(Project_Quoted,Project_List!$B$3:$B$102,B22))</f>
        <v/>
      </c>
      <c r="L22" s="76"/>
    </row>
    <row r="23" spans="1:12" ht="15" customHeight="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95" t="str">
        <f>IF(B23="","",SUMIFS(Project_Quoted,Project_List!$B$3:$B$102,B23))</f>
        <v/>
      </c>
      <c r="L23" s="76"/>
    </row>
    <row r="24" spans="1:12" ht="15" customHeight="1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95" t="str">
        <f>IF(B24="","",SUMIFS(Project_Quoted,Project_List!$B$3:$B$102,B24))</f>
        <v/>
      </c>
      <c r="L24" s="76"/>
    </row>
    <row r="25" spans="1:12" ht="15" customHeight="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95" t="str">
        <f>IF(B25="","",SUMIFS(Project_Quoted,Project_List!$B$3:$B$102,B25))</f>
        <v/>
      </c>
      <c r="L25" s="76"/>
    </row>
    <row r="26" spans="1:12" ht="15" customHeight="1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95" t="str">
        <f>IF(B26="","",SUMIFS(Project_Quoted,Project_List!$B$3:$B$102,B26))</f>
        <v/>
      </c>
      <c r="L26" s="76"/>
    </row>
    <row r="27" spans="1:12" ht="15" customHeight="1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95" t="str">
        <f>IF(B27="","",SUMIFS(Project_Quoted,Project_List!$B$3:$B$102,B27))</f>
        <v/>
      </c>
      <c r="L27" s="76"/>
    </row>
    <row r="28" spans="1:12" ht="1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95" t="str">
        <f>IF(B28="","",SUMIFS(Project_Quoted,Project_List!$B$3:$B$102,B28))</f>
        <v/>
      </c>
      <c r="L28" s="76"/>
    </row>
    <row r="29" spans="1:12" ht="15" customHeight="1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95" t="str">
        <f>IF(B29="","",SUMIFS(Project_Quoted,Project_List!$B$3:$B$102,B29))</f>
        <v/>
      </c>
      <c r="L29" s="76"/>
    </row>
    <row r="30" spans="1:12" ht="15" customHeight="1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95" t="str">
        <f>IF(B30="","",SUMIFS(Project_Quoted,Project_List!$B$3:$B$102,B30))</f>
        <v/>
      </c>
      <c r="L30" s="76"/>
    </row>
    <row r="31" spans="1:12" ht="15" customHeight="1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95" t="str">
        <f>IF(B31="","",SUMIFS(Project_Quoted,Project_List!$B$3:$B$102,B31))</f>
        <v/>
      </c>
      <c r="L31" s="76"/>
    </row>
    <row r="32" spans="1:12" ht="15" customHeight="1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95" t="str">
        <f>IF(B32="","",SUMIFS(Project_Quoted,Project_List!$B$3:$B$102,B32))</f>
        <v/>
      </c>
      <c r="L32" s="76"/>
    </row>
    <row r="33" spans="1:12" ht="15" customHeight="1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95" t="str">
        <f>IF(B33="","",SUMIFS(Project_Quoted,Project_List!$B$3:$B$102,B33))</f>
        <v/>
      </c>
      <c r="L33" s="76"/>
    </row>
    <row r="34" spans="1:12" ht="15" customHeight="1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95" t="str">
        <f>IF(B34="","",SUMIFS(Project_Quoted,Project_List!$B$3:$B$102,B34))</f>
        <v/>
      </c>
      <c r="L34" s="76"/>
    </row>
    <row r="35" spans="1:12" ht="15" customHeight="1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95" t="str">
        <f>IF(B35="","",SUMIFS(Project_Quoted,Project_List!$B$3:$B$102,B35))</f>
        <v/>
      </c>
      <c r="L35" s="76"/>
    </row>
    <row r="36" spans="1:12" ht="15" customHeight="1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95" t="str">
        <f>IF(B36="","",SUMIFS(Project_Quoted,Project_List!$B$3:$B$102,B36))</f>
        <v/>
      </c>
      <c r="L36" s="76"/>
    </row>
    <row r="37" spans="1:12" ht="15" customHeight="1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95" t="str">
        <f>IF(B37="","",SUMIFS(Project_Quoted,Project_List!$B$3:$B$102,B37))</f>
        <v/>
      </c>
      <c r="L37" s="76"/>
    </row>
    <row r="38" spans="1:12" ht="15" customHeight="1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95" t="str">
        <f>IF(B38="","",SUMIFS(Project_Quoted,Project_List!$B$3:$B$102,B38))</f>
        <v/>
      </c>
      <c r="L38" s="76"/>
    </row>
    <row r="39" spans="1:12" ht="15" customHeight="1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95" t="str">
        <f>IF(B39="","",SUMIFS(Project_Quoted,Project_List!$B$3:$B$102,B39))</f>
        <v/>
      </c>
      <c r="L39" s="76"/>
    </row>
    <row r="40" spans="1:12" ht="15" customHeight="1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95" t="str">
        <f>IF(B40="","",SUMIFS(Project_Quoted,Project_List!$B$3:$B$102,B40))</f>
        <v/>
      </c>
      <c r="L40" s="76"/>
    </row>
    <row r="41" spans="1:12" ht="15" customHeight="1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95" t="str">
        <f>IF(B41="","",SUMIFS(Project_Quoted,Project_List!$B$3:$B$102,B41))</f>
        <v/>
      </c>
      <c r="L41" s="76"/>
    </row>
    <row r="42" spans="1:12" ht="15" customHeight="1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95" t="str">
        <f>IF(B42="","",SUMIFS(Project_Quoted,Project_List!$B$3:$B$102,B42))</f>
        <v/>
      </c>
      <c r="L42" s="76"/>
    </row>
    <row r="43" spans="1:12" ht="15" customHeight="1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95" t="str">
        <f>IF(B43="","",SUMIFS(Project_Quoted,Project_List!$B$3:$B$102,B43))</f>
        <v/>
      </c>
      <c r="L43" s="76"/>
    </row>
    <row r="44" spans="1:12" ht="15" customHeight="1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95" t="str">
        <f>IF(B44="","",SUMIFS(Project_Quoted,Project_List!$B$3:$B$102,B44))</f>
        <v/>
      </c>
      <c r="L44" s="76"/>
    </row>
    <row r="45" spans="1:12" ht="15" customHeight="1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95" t="str">
        <f>IF(B45="","",SUMIFS(Project_Quoted,Project_List!$B$3:$B$102,B45))</f>
        <v/>
      </c>
      <c r="L45" s="76"/>
    </row>
    <row r="46" spans="1:12" ht="15" customHeight="1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95" t="str">
        <f>IF(B46="","",SUMIFS(Project_Quoted,Project_List!$B$3:$B$102,B46))</f>
        <v/>
      </c>
      <c r="L46" s="76"/>
    </row>
    <row r="47" spans="1:12" ht="15" customHeight="1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95" t="str">
        <f>IF(B47="","",SUMIFS(Project_Quoted,Project_List!$B$3:$B$102,B47))</f>
        <v/>
      </c>
      <c r="L47" s="76"/>
    </row>
    <row r="48" spans="1:12" ht="15" customHeight="1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95" t="str">
        <f>IF(B48="","",SUMIFS(Project_Quoted,Project_List!$B$3:$B$102,B48))</f>
        <v/>
      </c>
      <c r="L48" s="76"/>
    </row>
    <row r="49" spans="1:12" ht="15" customHeight="1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95" t="str">
        <f>IF(B49="","",SUMIFS(Project_Quoted,Project_List!$B$3:$B$102,B49))</f>
        <v/>
      </c>
      <c r="L49" s="76"/>
    </row>
    <row r="50" spans="1:12" ht="15" customHeight="1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95" t="str">
        <f>IF(B50="","",SUMIFS(Project_Quoted,Project_List!$B$3:$B$102,B50))</f>
        <v/>
      </c>
      <c r="L50" s="76"/>
    </row>
    <row r="51" spans="1:12" ht="15" customHeight="1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95" t="str">
        <f>IF(B51="","",SUMIFS(Project_Quoted,Project_List!$B$3:$B$102,B51))</f>
        <v/>
      </c>
      <c r="L51" s="76"/>
    </row>
    <row r="52" spans="1:12" ht="15" customHeigh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95" t="str">
        <f>IF(B52="","",SUMIFS(Project_Quoted,Project_List!$B$3:$B$102,B52))</f>
        <v/>
      </c>
      <c r="L52" s="76"/>
    </row>
    <row r="53" spans="1:12" ht="15" customHeight="1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95" t="str">
        <f>IF(B53="","",SUMIFS(Project_Quoted,Project_List!$B$3:$B$102,B53))</f>
        <v/>
      </c>
      <c r="L53" s="76"/>
    </row>
    <row r="54" spans="1:12" ht="15" customHeight="1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95" t="str">
        <f>IF(B54="","",SUMIFS(Project_Quoted,Project_List!$B$3:$B$102,B54))</f>
        <v/>
      </c>
      <c r="L54" s="76"/>
    </row>
    <row r="55" spans="1:12" ht="15" customHeight="1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95" t="str">
        <f>IF(B55="","",SUMIFS(Project_Quoted,Project_List!$B$3:$B$102,B55))</f>
        <v/>
      </c>
      <c r="L55" s="76"/>
    </row>
    <row r="56" spans="1:12" ht="15" customHeight="1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95" t="str">
        <f>IF(B56="","",SUMIFS(Project_Quoted,Project_List!$B$3:$B$102,B56))</f>
        <v/>
      </c>
      <c r="L56" s="76"/>
    </row>
    <row r="57" spans="1:12" ht="15" customHeight="1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95" t="str">
        <f>IF(B57="","",SUMIFS(Project_Quoted,Project_List!$B$3:$B$102,B57))</f>
        <v/>
      </c>
      <c r="L57" s="76"/>
    </row>
    <row r="58" spans="1:12" ht="15" customHeight="1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95" t="str">
        <f>IF(B58="","",SUMIFS(Project_Quoted,Project_List!$B$3:$B$102,B58))</f>
        <v/>
      </c>
      <c r="L58" s="76"/>
    </row>
    <row r="59" spans="1:12" ht="15" customHeight="1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95" t="str">
        <f>IF(B59="","",SUMIFS(Project_Quoted,Project_List!$B$3:$B$102,B59))</f>
        <v/>
      </c>
      <c r="L59" s="76"/>
    </row>
    <row r="60" spans="1:12" ht="15" customHeight="1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95" t="str">
        <f>IF(B60="","",SUMIFS(Project_Quoted,Project_List!$B$3:$B$102,B60))</f>
        <v/>
      </c>
      <c r="L60" s="76"/>
    </row>
    <row r="61" spans="1:12" ht="15" customHeight="1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95" t="str">
        <f>IF(B61="","",SUMIFS(Project_Quoted,Project_List!$B$3:$B$102,B61))</f>
        <v/>
      </c>
      <c r="L61" s="76"/>
    </row>
    <row r="62" spans="1:12" ht="15" customHeight="1" x14ac:dyDescent="0.2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95" t="str">
        <f>IF(B62="","",SUMIFS(Project_Quoted,Project_List!$B$3:$B$102,B62))</f>
        <v/>
      </c>
      <c r="L62" s="76"/>
    </row>
    <row r="63" spans="1:12" ht="15" customHeight="1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95" t="str">
        <f>IF(B63="","",SUMIFS(Project_Quoted,Project_List!$B$3:$B$102,B63))</f>
        <v/>
      </c>
      <c r="L63" s="76"/>
    </row>
    <row r="64" spans="1:12" ht="15" customHeight="1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95" t="str">
        <f>IF(B64="","",SUMIFS(Project_Quoted,Project_List!$B$3:$B$102,B64))</f>
        <v/>
      </c>
      <c r="L64" s="76"/>
    </row>
    <row r="65" spans="1:12" ht="15" customHeight="1" x14ac:dyDescent="0.2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95" t="str">
        <f>IF(B65="","",SUMIFS(Project_Quoted,Project_List!$B$3:$B$102,B65))</f>
        <v/>
      </c>
      <c r="L65" s="76"/>
    </row>
    <row r="66" spans="1:12" ht="15" customHeight="1" x14ac:dyDescent="0.2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95" t="str">
        <f>IF(B66="","",SUMIFS(Project_Quoted,Project_List!$B$3:$B$102,B66))</f>
        <v/>
      </c>
      <c r="L66" s="76"/>
    </row>
    <row r="67" spans="1:12" ht="15" customHeight="1" x14ac:dyDescent="0.2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95" t="str">
        <f>IF(B67="","",SUMIFS(Project_Quoted,Project_List!$B$3:$B$102,B67))</f>
        <v/>
      </c>
      <c r="L67" s="76"/>
    </row>
    <row r="68" spans="1:12" ht="15" customHeight="1" x14ac:dyDescent="0.25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95" t="str">
        <f>IF(B68="","",SUMIFS(Project_Quoted,Project_List!$B$3:$B$102,B68))</f>
        <v/>
      </c>
      <c r="L68" s="76"/>
    </row>
    <row r="69" spans="1:12" ht="15" customHeight="1" x14ac:dyDescent="0.25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95" t="str">
        <f>IF(B69="","",SUMIFS(Project_Quoted,Project_List!$B$3:$B$102,B69))</f>
        <v/>
      </c>
      <c r="L69" s="76"/>
    </row>
    <row r="70" spans="1:12" ht="15" customHeight="1" x14ac:dyDescent="0.2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95" t="str">
        <f>IF(B70="","",SUMIFS(Project_Quoted,Project_List!$B$3:$B$102,B70))</f>
        <v/>
      </c>
      <c r="L70" s="76"/>
    </row>
    <row r="71" spans="1:12" ht="15" customHeight="1" x14ac:dyDescent="0.25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95" t="str">
        <f>IF(B71="","",SUMIFS(Project_Quoted,Project_List!$B$3:$B$102,B71))</f>
        <v/>
      </c>
      <c r="L71" s="76"/>
    </row>
    <row r="72" spans="1:12" ht="15" customHeight="1" x14ac:dyDescent="0.25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95" t="str">
        <f>IF(B72="","",SUMIFS(Project_Quoted,Project_List!$B$3:$B$102,B72))</f>
        <v/>
      </c>
      <c r="L72" s="76"/>
    </row>
    <row r="73" spans="1:12" ht="15" customHeight="1" x14ac:dyDescent="0.25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95" t="str">
        <f>IF(B73="","",SUMIFS(Project_Quoted,Project_List!$B$3:$B$102,B73))</f>
        <v/>
      </c>
      <c r="L73" s="76"/>
    </row>
    <row r="74" spans="1:12" ht="15" customHeight="1" x14ac:dyDescent="0.25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95" t="str">
        <f>IF(B74="","",SUMIFS(Project_Quoted,Project_List!$B$3:$B$102,B74))</f>
        <v/>
      </c>
      <c r="L74" s="76"/>
    </row>
    <row r="75" spans="1:12" ht="15" customHeight="1" x14ac:dyDescent="0.2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95" t="str">
        <f>IF(B75="","",SUMIFS(Project_Quoted,Project_List!$B$3:$B$102,B75))</f>
        <v/>
      </c>
      <c r="L75" s="76"/>
    </row>
    <row r="76" spans="1:12" ht="15" customHeight="1" x14ac:dyDescent="0.25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95" t="str">
        <f>IF(B76="","",SUMIFS(Project_Quoted,Project_List!$B$3:$B$102,B76))</f>
        <v/>
      </c>
      <c r="L76" s="76"/>
    </row>
    <row r="77" spans="1:12" ht="15" customHeight="1" x14ac:dyDescent="0.25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95" t="str">
        <f>IF(B77="","",SUMIFS(Project_Quoted,Project_List!$B$3:$B$102,B77))</f>
        <v/>
      </c>
      <c r="L77" s="76"/>
    </row>
    <row r="78" spans="1:12" ht="15" customHeight="1" x14ac:dyDescent="0.25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95" t="str">
        <f>IF(B78="","",SUMIFS(Project_Quoted,Project_List!$B$3:$B$102,B78))</f>
        <v/>
      </c>
      <c r="L78" s="76"/>
    </row>
    <row r="79" spans="1:12" ht="15" customHeight="1" x14ac:dyDescent="0.25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95" t="str">
        <f>IF(B79="","",SUMIFS(Project_Quoted,Project_List!$B$3:$B$102,B79))</f>
        <v/>
      </c>
      <c r="L79" s="76"/>
    </row>
    <row r="80" spans="1:12" ht="15" customHeight="1" x14ac:dyDescent="0.25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95" t="str">
        <f>IF(B80="","",SUMIFS(Project_Quoted,Project_List!$B$3:$B$102,B80))</f>
        <v/>
      </c>
      <c r="L80" s="76"/>
    </row>
    <row r="81" spans="1:12" ht="15" customHeight="1" x14ac:dyDescent="0.25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95" t="str">
        <f>IF(B81="","",SUMIFS(Project_Quoted,Project_List!$B$3:$B$102,B81))</f>
        <v/>
      </c>
      <c r="L81" s="76"/>
    </row>
    <row r="82" spans="1:12" ht="15" customHeight="1" x14ac:dyDescent="0.25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95" t="str">
        <f>IF(B82="","",SUMIFS(Project_Quoted,Project_List!$B$3:$B$102,B82))</f>
        <v/>
      </c>
      <c r="L82" s="76"/>
    </row>
    <row r="83" spans="1:12" ht="15" customHeight="1" x14ac:dyDescent="0.25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95" t="str">
        <f>IF(B83="","",SUMIFS(Project_Quoted,Project_List!$B$3:$B$102,B83))</f>
        <v/>
      </c>
      <c r="L83" s="76"/>
    </row>
    <row r="84" spans="1:12" ht="15" customHeight="1" x14ac:dyDescent="0.25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95" t="str">
        <f>IF(B84="","",SUMIFS(Project_Quoted,Project_List!$B$3:$B$102,B84))</f>
        <v/>
      </c>
      <c r="L84" s="76"/>
    </row>
    <row r="85" spans="1:12" ht="15" customHeight="1" x14ac:dyDescent="0.2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95" t="str">
        <f>IF(B85="","",SUMIFS(Project_Quoted,Project_List!$B$3:$B$102,B85))</f>
        <v/>
      </c>
      <c r="L85" s="76"/>
    </row>
    <row r="86" spans="1:12" ht="15" customHeight="1" x14ac:dyDescent="0.25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95" t="str">
        <f>IF(B86="","",SUMIFS(Project_Quoted,Project_List!$B$3:$B$102,B86))</f>
        <v/>
      </c>
      <c r="L86" s="76"/>
    </row>
    <row r="87" spans="1:12" ht="15" customHeight="1" x14ac:dyDescent="0.25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95" t="str">
        <f>IF(B87="","",SUMIFS(Project_Quoted,Project_List!$B$3:$B$102,B87))</f>
        <v/>
      </c>
      <c r="L87" s="76"/>
    </row>
    <row r="88" spans="1:12" ht="15" customHeight="1" x14ac:dyDescent="0.25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95" t="str">
        <f>IF(B88="","",SUMIFS(Project_Quoted,Project_List!$B$3:$B$102,B88))</f>
        <v/>
      </c>
      <c r="L88" s="76"/>
    </row>
    <row r="89" spans="1:12" ht="15" customHeight="1" x14ac:dyDescent="0.25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95" t="str">
        <f>IF(B89="","",SUMIFS(Project_Quoted,Project_List!$B$3:$B$102,B89))</f>
        <v/>
      </c>
      <c r="L89" s="76"/>
    </row>
    <row r="90" spans="1:12" ht="15" customHeight="1" x14ac:dyDescent="0.25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95" t="str">
        <f>IF(B90="","",SUMIFS(Project_Quoted,Project_List!$B$3:$B$102,B90))</f>
        <v/>
      </c>
      <c r="L90" s="76"/>
    </row>
    <row r="91" spans="1:12" ht="15" customHeight="1" x14ac:dyDescent="0.25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95" t="str">
        <f>IF(B91="","",SUMIFS(Project_Quoted,Project_List!$B$3:$B$102,B91))</f>
        <v/>
      </c>
      <c r="L91" s="76"/>
    </row>
    <row r="92" spans="1:12" ht="15" customHeight="1" x14ac:dyDescent="0.2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95" t="str">
        <f>IF(B92="","",SUMIFS(Project_Quoted,Project_List!$B$3:$B$102,B92))</f>
        <v/>
      </c>
      <c r="L92" s="76"/>
    </row>
    <row r="93" spans="1:12" ht="15" customHeight="1" x14ac:dyDescent="0.25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95" t="str">
        <f>IF(B93="","",SUMIFS(Project_Quoted,Project_List!$B$3:$B$102,B93))</f>
        <v/>
      </c>
      <c r="L93" s="76"/>
    </row>
    <row r="94" spans="1:12" ht="15" customHeight="1" x14ac:dyDescent="0.25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95" t="str">
        <f>IF(B94="","",SUMIFS(Project_Quoted,Project_List!$B$3:$B$102,B94))</f>
        <v/>
      </c>
      <c r="L94" s="76"/>
    </row>
    <row r="95" spans="1:12" ht="15" customHeight="1" x14ac:dyDescent="0.2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95" t="str">
        <f>IF(B95="","",SUMIFS(Project_Quoted,Project_List!$B$3:$B$102,B95))</f>
        <v/>
      </c>
      <c r="L95" s="76"/>
    </row>
    <row r="96" spans="1:12" ht="15" customHeight="1" x14ac:dyDescent="0.25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95" t="str">
        <f>IF(B96="","",SUMIFS(Project_Quoted,Project_List!$B$3:$B$102,B96))</f>
        <v/>
      </c>
      <c r="L96" s="76"/>
    </row>
    <row r="97" spans="1:12" ht="15" customHeight="1" x14ac:dyDescent="0.25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95" t="str">
        <f>IF(B97="","",SUMIFS(Project_Quoted,Project_List!$B$3:$B$102,B97))</f>
        <v/>
      </c>
      <c r="L97" s="76"/>
    </row>
    <row r="98" spans="1:12" ht="15" customHeight="1" x14ac:dyDescent="0.25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95" t="str">
        <f>IF(B98="","",SUMIFS(Project_Quoted,Project_List!$B$3:$B$102,B98))</f>
        <v/>
      </c>
      <c r="L98" s="76"/>
    </row>
    <row r="99" spans="1:12" ht="15" customHeight="1" x14ac:dyDescent="0.25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95" t="str">
        <f>IF(B99="","",SUMIFS(Project_Quoted,Project_List!$B$3:$B$102,B99))</f>
        <v/>
      </c>
      <c r="L99" s="76"/>
    </row>
    <row r="100" spans="1:12" ht="15" customHeight="1" x14ac:dyDescent="0.25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95" t="str">
        <f>IF(B100="","",SUMIFS(Project_Quoted,Project_List!$B$3:$B$102,B100))</f>
        <v/>
      </c>
      <c r="L100" s="76"/>
    </row>
    <row r="101" spans="1:12" ht="15" customHeight="1" x14ac:dyDescent="0.25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95" t="str">
        <f>IF(B101="","",SUMIFS(Project_Quoted,Project_List!$B$3:$B$102,B101))</f>
        <v/>
      </c>
      <c r="L101" s="76"/>
    </row>
    <row r="102" spans="1:12" ht="15" customHeight="1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95" t="str">
        <f>IF(B102="","",SUMIFS(Project_Quoted,Project_List!$B$3:$B$102,B102))</f>
        <v/>
      </c>
      <c r="L102" s="76"/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L1"/>
  </mergeCells>
  <dataValidations count="1">
    <dataValidation type="list" allowBlank="1" sqref="H3:H102" xr:uid="{00000000-0002-0000-0600-000000000000}">
      <formula1>"Residential,Commercial,Architect,Designer,Contractor,Developer"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D7D31"/>
  </sheetPr>
  <dimension ref="A1:DC45"/>
  <sheetViews>
    <sheetView zoomScaleNormal="100" workbookViewId="0">
      <pane xSplit="9" ySplit="2" topLeftCell="J3" activePane="bottomRight" state="frozen"/>
      <selection pane="topRight" activeCell="J1" sqref="J1"/>
      <selection pane="bottomLeft" activeCell="A3" sqref="A3"/>
      <selection pane="bottomRight" sqref="A1:AD1"/>
    </sheetView>
  </sheetViews>
  <sheetFormatPr defaultColWidth="8.7109375" defaultRowHeight="15" x14ac:dyDescent="0.25"/>
  <cols>
    <col min="1" max="1" width="12" customWidth="1"/>
    <col min="2" max="2" width="22" customWidth="1"/>
    <col min="3" max="3" width="18" customWidth="1"/>
    <col min="4" max="4" width="14" customWidth="1"/>
    <col min="5" max="7" width="11" customWidth="1"/>
    <col min="8" max="8" width="10" customWidth="1"/>
    <col min="9" max="9" width="14" customWidth="1"/>
    <col min="10" max="107" width="4" customWidth="1"/>
  </cols>
  <sheetData>
    <row r="1" spans="1:107" ht="30" customHeight="1" x14ac:dyDescent="0.25">
      <c r="A1" s="71" t="s">
        <v>460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</row>
    <row r="2" spans="1:107" ht="27.75" customHeight="1" x14ac:dyDescent="0.25">
      <c r="A2" s="63" t="s">
        <v>20</v>
      </c>
      <c r="B2" s="63" t="s">
        <v>333</v>
      </c>
      <c r="C2" s="63" t="s">
        <v>224</v>
      </c>
      <c r="D2" s="63" t="s">
        <v>461</v>
      </c>
      <c r="E2" s="63" t="s">
        <v>462</v>
      </c>
      <c r="F2" s="63" t="s">
        <v>463</v>
      </c>
      <c r="G2" s="63" t="s">
        <v>464</v>
      </c>
      <c r="H2" s="63" t="s">
        <v>465</v>
      </c>
      <c r="I2" s="63" t="s">
        <v>23</v>
      </c>
      <c r="J2" s="107">
        <v>46111</v>
      </c>
      <c r="K2" s="107">
        <v>46112</v>
      </c>
      <c r="L2" s="107">
        <v>46113</v>
      </c>
      <c r="M2" s="107">
        <v>46114</v>
      </c>
      <c r="N2" s="107">
        <v>46115</v>
      </c>
      <c r="O2" s="107">
        <v>46116</v>
      </c>
      <c r="P2" s="107">
        <v>46117</v>
      </c>
      <c r="Q2" s="107">
        <v>46118</v>
      </c>
      <c r="R2" s="107">
        <v>46119</v>
      </c>
      <c r="S2" s="107">
        <v>46120</v>
      </c>
      <c r="T2" s="107">
        <v>46121</v>
      </c>
      <c r="U2" s="107">
        <v>46122</v>
      </c>
      <c r="V2" s="107">
        <v>46123</v>
      </c>
      <c r="W2" s="107">
        <v>46124</v>
      </c>
      <c r="X2" s="107">
        <v>46125</v>
      </c>
      <c r="Y2" s="107">
        <v>46126</v>
      </c>
      <c r="Z2" s="107">
        <v>46127</v>
      </c>
      <c r="AA2" s="107">
        <v>46128</v>
      </c>
      <c r="AB2" s="107">
        <v>46129</v>
      </c>
      <c r="AC2" s="107">
        <v>46130</v>
      </c>
      <c r="AD2" s="107">
        <v>46131</v>
      </c>
      <c r="AE2" s="107">
        <v>46132</v>
      </c>
      <c r="AF2" s="107">
        <v>46133</v>
      </c>
      <c r="AG2" s="107">
        <v>46134</v>
      </c>
      <c r="AH2" s="107">
        <v>46135</v>
      </c>
      <c r="AI2" s="107">
        <v>46136</v>
      </c>
      <c r="AJ2" s="107">
        <v>46137</v>
      </c>
      <c r="AK2" s="107">
        <v>46138</v>
      </c>
      <c r="AL2" s="107">
        <v>46139</v>
      </c>
      <c r="AM2" s="107">
        <v>46140</v>
      </c>
      <c r="AN2" s="107">
        <v>46141</v>
      </c>
      <c r="AO2" s="107">
        <v>46142</v>
      </c>
      <c r="AP2" s="107">
        <v>46143</v>
      </c>
      <c r="AQ2" s="107">
        <v>46144</v>
      </c>
      <c r="AR2" s="107">
        <v>46145</v>
      </c>
      <c r="AS2" s="107">
        <v>46146</v>
      </c>
      <c r="AT2" s="107">
        <v>46147</v>
      </c>
      <c r="AU2" s="107">
        <v>46148</v>
      </c>
      <c r="AV2" s="107">
        <v>46149</v>
      </c>
      <c r="AW2" s="107">
        <v>46150</v>
      </c>
      <c r="AX2" s="107">
        <v>46151</v>
      </c>
      <c r="AY2" s="107">
        <v>46152</v>
      </c>
      <c r="AZ2" s="107">
        <v>46153</v>
      </c>
      <c r="BA2" s="107">
        <v>46154</v>
      </c>
      <c r="BB2" s="107">
        <v>46155</v>
      </c>
      <c r="BC2" s="107">
        <v>46156</v>
      </c>
      <c r="BD2" s="107">
        <v>46157</v>
      </c>
      <c r="BE2" s="107">
        <v>46158</v>
      </c>
      <c r="BF2" s="107">
        <v>46159</v>
      </c>
      <c r="BG2" s="107">
        <v>46160</v>
      </c>
      <c r="BH2" s="107">
        <v>46161</v>
      </c>
      <c r="BI2" s="107">
        <v>46162</v>
      </c>
      <c r="BJ2" s="107">
        <v>46163</v>
      </c>
      <c r="BK2" s="107">
        <v>46164</v>
      </c>
      <c r="BL2" s="107">
        <v>46165</v>
      </c>
      <c r="BM2" s="107">
        <v>46166</v>
      </c>
      <c r="BN2" s="107">
        <v>46167</v>
      </c>
      <c r="BO2" s="107">
        <v>46168</v>
      </c>
      <c r="BP2" s="107">
        <v>46169</v>
      </c>
      <c r="BQ2" s="107">
        <v>46170</v>
      </c>
      <c r="BR2" s="107">
        <v>46171</v>
      </c>
      <c r="BS2" s="107">
        <v>46172</v>
      </c>
      <c r="BT2" s="107">
        <v>46173</v>
      </c>
      <c r="BU2" s="107">
        <v>46174</v>
      </c>
      <c r="BV2" s="107">
        <v>46175</v>
      </c>
      <c r="BW2" s="107">
        <v>46176</v>
      </c>
      <c r="BX2" s="107">
        <v>46177</v>
      </c>
      <c r="BY2" s="107">
        <v>46178</v>
      </c>
      <c r="BZ2" s="107">
        <v>46179</v>
      </c>
      <c r="CA2" s="107">
        <v>46180</v>
      </c>
      <c r="CB2" s="107">
        <v>46181</v>
      </c>
      <c r="CC2" s="107">
        <v>46182</v>
      </c>
      <c r="CD2" s="107">
        <v>46183</v>
      </c>
      <c r="CE2" s="107">
        <v>46184</v>
      </c>
      <c r="CF2" s="107">
        <v>46185</v>
      </c>
      <c r="CG2" s="107">
        <v>46186</v>
      </c>
      <c r="CH2" s="107">
        <v>46187</v>
      </c>
      <c r="CI2" s="107">
        <v>46188</v>
      </c>
      <c r="CJ2" s="107">
        <v>46189</v>
      </c>
      <c r="CK2" s="107">
        <v>46190</v>
      </c>
      <c r="CL2" s="107">
        <v>46191</v>
      </c>
      <c r="CM2" s="107">
        <v>46192</v>
      </c>
      <c r="CN2" s="107">
        <v>46193</v>
      </c>
      <c r="CO2" s="107">
        <v>46194</v>
      </c>
      <c r="CP2" s="107">
        <v>46195</v>
      </c>
      <c r="CQ2" s="107">
        <v>46196</v>
      </c>
      <c r="CR2" s="107">
        <v>46197</v>
      </c>
      <c r="CS2" s="107">
        <v>46198</v>
      </c>
      <c r="CT2" s="107">
        <v>46199</v>
      </c>
      <c r="CU2" s="107">
        <v>46200</v>
      </c>
      <c r="CV2" s="107">
        <v>46201</v>
      </c>
      <c r="CW2" s="107">
        <v>46202</v>
      </c>
      <c r="CX2" s="107">
        <v>46203</v>
      </c>
      <c r="CY2" s="107">
        <v>46204</v>
      </c>
      <c r="CZ2" s="107">
        <v>46205</v>
      </c>
      <c r="DA2" s="107">
        <v>46206</v>
      </c>
      <c r="DB2" s="107">
        <v>46207</v>
      </c>
      <c r="DC2" s="107">
        <v>46208</v>
      </c>
    </row>
    <row r="3" spans="1:107" ht="26.25" customHeight="1" x14ac:dyDescent="0.25">
      <c r="A3" s="92" t="s">
        <v>312</v>
      </c>
      <c r="B3" s="76" t="s">
        <v>350</v>
      </c>
      <c r="C3" s="77" t="s">
        <v>466</v>
      </c>
      <c r="D3" s="77" t="s">
        <v>382</v>
      </c>
      <c r="E3" s="94">
        <v>46088</v>
      </c>
      <c r="F3" s="108">
        <v>3</v>
      </c>
      <c r="G3" s="110">
        <f t="shared" ref="G3:G45" si="0">E3+F3-1</f>
        <v>46090</v>
      </c>
      <c r="H3" s="102">
        <v>1</v>
      </c>
      <c r="I3" s="97" t="str">
        <f t="shared" ref="I3:I45" ca="1" si="1">IF(H3&gt;=1,"Done",IF(AND(TODAY()&gt;G3,H3&lt;1),"Late",IF(TODAY()&lt;E3,"Upcoming","Active")))</f>
        <v>Done</v>
      </c>
      <c r="J3" s="109" t="str">
        <f t="shared" ref="J3:S12" si="2">IF(AND(J$2&gt;=$E3,J$2&lt;=$G3),1,"")</f>
        <v/>
      </c>
      <c r="K3" s="109" t="str">
        <f t="shared" si="2"/>
        <v/>
      </c>
      <c r="L3" s="109" t="str">
        <f t="shared" si="2"/>
        <v/>
      </c>
      <c r="M3" s="109" t="str">
        <f t="shared" si="2"/>
        <v/>
      </c>
      <c r="N3" s="109" t="str">
        <f t="shared" si="2"/>
        <v/>
      </c>
      <c r="O3" s="109" t="str">
        <f t="shared" si="2"/>
        <v/>
      </c>
      <c r="P3" s="109" t="str">
        <f t="shared" si="2"/>
        <v/>
      </c>
      <c r="Q3" s="109" t="str">
        <f t="shared" si="2"/>
        <v/>
      </c>
      <c r="R3" s="109" t="str">
        <f t="shared" si="2"/>
        <v/>
      </c>
      <c r="S3" s="109" t="str">
        <f t="shared" si="2"/>
        <v/>
      </c>
      <c r="T3" s="109" t="str">
        <f t="shared" ref="T3:AC12" si="3">IF(AND(T$2&gt;=$E3,T$2&lt;=$G3),1,"")</f>
        <v/>
      </c>
      <c r="U3" s="109" t="str">
        <f t="shared" si="3"/>
        <v/>
      </c>
      <c r="V3" s="109" t="str">
        <f t="shared" si="3"/>
        <v/>
      </c>
      <c r="W3" s="109" t="str">
        <f t="shared" si="3"/>
        <v/>
      </c>
      <c r="X3" s="109" t="str">
        <f t="shared" si="3"/>
        <v/>
      </c>
      <c r="Y3" s="109" t="str">
        <f t="shared" si="3"/>
        <v/>
      </c>
      <c r="Z3" s="109" t="str">
        <f t="shared" si="3"/>
        <v/>
      </c>
      <c r="AA3" s="109" t="str">
        <f t="shared" si="3"/>
        <v/>
      </c>
      <c r="AB3" s="109" t="str">
        <f t="shared" si="3"/>
        <v/>
      </c>
      <c r="AC3" s="109" t="str">
        <f t="shared" si="3"/>
        <v/>
      </c>
      <c r="AD3" s="109" t="str">
        <f t="shared" ref="AD3:AM12" si="4">IF(AND(AD$2&gt;=$E3,AD$2&lt;=$G3),1,"")</f>
        <v/>
      </c>
      <c r="AE3" s="109" t="str">
        <f t="shared" si="4"/>
        <v/>
      </c>
      <c r="AF3" s="109" t="str">
        <f t="shared" si="4"/>
        <v/>
      </c>
      <c r="AG3" s="109" t="str">
        <f t="shared" si="4"/>
        <v/>
      </c>
      <c r="AH3" s="109" t="str">
        <f t="shared" si="4"/>
        <v/>
      </c>
      <c r="AI3" s="109" t="str">
        <f t="shared" si="4"/>
        <v/>
      </c>
      <c r="AJ3" s="109" t="str">
        <f t="shared" si="4"/>
        <v/>
      </c>
      <c r="AK3" s="109" t="str">
        <f t="shared" si="4"/>
        <v/>
      </c>
      <c r="AL3" s="109" t="str">
        <f t="shared" si="4"/>
        <v/>
      </c>
      <c r="AM3" s="109" t="str">
        <f t="shared" si="4"/>
        <v/>
      </c>
      <c r="AN3" s="109" t="str">
        <f t="shared" ref="AN3:AW12" si="5">IF(AND(AN$2&gt;=$E3,AN$2&lt;=$G3),1,"")</f>
        <v/>
      </c>
      <c r="AO3" s="109" t="str">
        <f t="shared" si="5"/>
        <v/>
      </c>
      <c r="AP3" s="109" t="str">
        <f t="shared" si="5"/>
        <v/>
      </c>
      <c r="AQ3" s="109" t="str">
        <f t="shared" si="5"/>
        <v/>
      </c>
      <c r="AR3" s="109" t="str">
        <f t="shared" si="5"/>
        <v/>
      </c>
      <c r="AS3" s="109" t="str">
        <f t="shared" si="5"/>
        <v/>
      </c>
      <c r="AT3" s="109" t="str">
        <f t="shared" si="5"/>
        <v/>
      </c>
      <c r="AU3" s="109" t="str">
        <f t="shared" si="5"/>
        <v/>
      </c>
      <c r="AV3" s="109" t="str">
        <f t="shared" si="5"/>
        <v/>
      </c>
      <c r="AW3" s="109" t="str">
        <f t="shared" si="5"/>
        <v/>
      </c>
      <c r="AX3" s="109" t="str">
        <f t="shared" ref="AX3:BG12" si="6">IF(AND(AX$2&gt;=$E3,AX$2&lt;=$G3),1,"")</f>
        <v/>
      </c>
      <c r="AY3" s="109" t="str">
        <f t="shared" si="6"/>
        <v/>
      </c>
      <c r="AZ3" s="109" t="str">
        <f t="shared" si="6"/>
        <v/>
      </c>
      <c r="BA3" s="109" t="str">
        <f t="shared" si="6"/>
        <v/>
      </c>
      <c r="BB3" s="109" t="str">
        <f t="shared" si="6"/>
        <v/>
      </c>
      <c r="BC3" s="109" t="str">
        <f t="shared" si="6"/>
        <v/>
      </c>
      <c r="BD3" s="109" t="str">
        <f t="shared" si="6"/>
        <v/>
      </c>
      <c r="BE3" s="109" t="str">
        <f t="shared" si="6"/>
        <v/>
      </c>
      <c r="BF3" s="109" t="str">
        <f t="shared" si="6"/>
        <v/>
      </c>
      <c r="BG3" s="109" t="str">
        <f t="shared" si="6"/>
        <v/>
      </c>
      <c r="BH3" s="109" t="str">
        <f t="shared" ref="BH3:BQ12" si="7">IF(AND(BH$2&gt;=$E3,BH$2&lt;=$G3),1,"")</f>
        <v/>
      </c>
      <c r="BI3" s="109" t="str">
        <f t="shared" si="7"/>
        <v/>
      </c>
      <c r="BJ3" s="109" t="str">
        <f t="shared" si="7"/>
        <v/>
      </c>
      <c r="BK3" s="109" t="str">
        <f t="shared" si="7"/>
        <v/>
      </c>
      <c r="BL3" s="109" t="str">
        <f t="shared" si="7"/>
        <v/>
      </c>
      <c r="BM3" s="109" t="str">
        <f t="shared" si="7"/>
        <v/>
      </c>
      <c r="BN3" s="109" t="str">
        <f t="shared" si="7"/>
        <v/>
      </c>
      <c r="BO3" s="109" t="str">
        <f t="shared" si="7"/>
        <v/>
      </c>
      <c r="BP3" s="109" t="str">
        <f t="shared" si="7"/>
        <v/>
      </c>
      <c r="BQ3" s="109" t="str">
        <f t="shared" si="7"/>
        <v/>
      </c>
      <c r="BR3" s="109" t="str">
        <f t="shared" ref="BR3:CA12" si="8">IF(AND(BR$2&gt;=$E3,BR$2&lt;=$G3),1,"")</f>
        <v/>
      </c>
      <c r="BS3" s="109" t="str">
        <f t="shared" si="8"/>
        <v/>
      </c>
      <c r="BT3" s="109" t="str">
        <f t="shared" si="8"/>
        <v/>
      </c>
      <c r="BU3" s="109" t="str">
        <f t="shared" si="8"/>
        <v/>
      </c>
      <c r="BV3" s="109" t="str">
        <f t="shared" si="8"/>
        <v/>
      </c>
      <c r="BW3" s="109" t="str">
        <f t="shared" si="8"/>
        <v/>
      </c>
      <c r="BX3" s="109" t="str">
        <f t="shared" si="8"/>
        <v/>
      </c>
      <c r="BY3" s="109" t="str">
        <f t="shared" si="8"/>
        <v/>
      </c>
      <c r="BZ3" s="109" t="str">
        <f t="shared" si="8"/>
        <v/>
      </c>
      <c r="CA3" s="109" t="str">
        <f t="shared" si="8"/>
        <v/>
      </c>
      <c r="CB3" s="109" t="str">
        <f t="shared" ref="CB3:CK12" si="9">IF(AND(CB$2&gt;=$E3,CB$2&lt;=$G3),1,"")</f>
        <v/>
      </c>
      <c r="CC3" s="109" t="str">
        <f t="shared" si="9"/>
        <v/>
      </c>
      <c r="CD3" s="109" t="str">
        <f t="shared" si="9"/>
        <v/>
      </c>
      <c r="CE3" s="109" t="str">
        <f t="shared" si="9"/>
        <v/>
      </c>
      <c r="CF3" s="109" t="str">
        <f t="shared" si="9"/>
        <v/>
      </c>
      <c r="CG3" s="109" t="str">
        <f t="shared" si="9"/>
        <v/>
      </c>
      <c r="CH3" s="109" t="str">
        <f t="shared" si="9"/>
        <v/>
      </c>
      <c r="CI3" s="109" t="str">
        <f t="shared" si="9"/>
        <v/>
      </c>
      <c r="CJ3" s="109" t="str">
        <f t="shared" si="9"/>
        <v/>
      </c>
      <c r="CK3" s="109" t="str">
        <f t="shared" si="9"/>
        <v/>
      </c>
      <c r="CL3" s="109" t="str">
        <f t="shared" ref="CL3:CU12" si="10">IF(AND(CL$2&gt;=$E3,CL$2&lt;=$G3),1,"")</f>
        <v/>
      </c>
      <c r="CM3" s="109" t="str">
        <f t="shared" si="10"/>
        <v/>
      </c>
      <c r="CN3" s="109" t="str">
        <f t="shared" si="10"/>
        <v/>
      </c>
      <c r="CO3" s="109" t="str">
        <f t="shared" si="10"/>
        <v/>
      </c>
      <c r="CP3" s="109" t="str">
        <f t="shared" si="10"/>
        <v/>
      </c>
      <c r="CQ3" s="109" t="str">
        <f t="shared" si="10"/>
        <v/>
      </c>
      <c r="CR3" s="109" t="str">
        <f t="shared" si="10"/>
        <v/>
      </c>
      <c r="CS3" s="109" t="str">
        <f t="shared" si="10"/>
        <v/>
      </c>
      <c r="CT3" s="109" t="str">
        <f t="shared" si="10"/>
        <v/>
      </c>
      <c r="CU3" s="109" t="str">
        <f t="shared" si="10"/>
        <v/>
      </c>
      <c r="CV3" s="109" t="str">
        <f t="shared" ref="CV3:DC12" si="11">IF(AND(CV$2&gt;=$E3,CV$2&lt;=$G3),1,"")</f>
        <v/>
      </c>
      <c r="CW3" s="109" t="str">
        <f t="shared" si="11"/>
        <v/>
      </c>
      <c r="CX3" s="109" t="str">
        <f t="shared" si="11"/>
        <v/>
      </c>
      <c r="CY3" s="109" t="str">
        <f t="shared" si="11"/>
        <v/>
      </c>
      <c r="CZ3" s="109" t="str">
        <f t="shared" si="11"/>
        <v/>
      </c>
      <c r="DA3" s="109" t="str">
        <f t="shared" si="11"/>
        <v/>
      </c>
      <c r="DB3" s="109" t="str">
        <f t="shared" si="11"/>
        <v/>
      </c>
      <c r="DC3" s="109" t="str">
        <f t="shared" si="11"/>
        <v/>
      </c>
    </row>
    <row r="4" spans="1:107" ht="26.25" customHeight="1" x14ac:dyDescent="0.25">
      <c r="A4" s="92" t="s">
        <v>312</v>
      </c>
      <c r="B4" s="76" t="s">
        <v>350</v>
      </c>
      <c r="C4" s="77" t="s">
        <v>382</v>
      </c>
      <c r="D4" s="77" t="s">
        <v>382</v>
      </c>
      <c r="E4" s="94">
        <v>46091</v>
      </c>
      <c r="F4" s="108">
        <v>4</v>
      </c>
      <c r="G4" s="110">
        <f t="shared" si="0"/>
        <v>46094</v>
      </c>
      <c r="H4" s="102">
        <v>1</v>
      </c>
      <c r="I4" s="97" t="str">
        <f t="shared" ca="1" si="1"/>
        <v>Done</v>
      </c>
      <c r="J4" s="109" t="str">
        <f t="shared" si="2"/>
        <v/>
      </c>
      <c r="K4" s="109" t="str">
        <f t="shared" si="2"/>
        <v/>
      </c>
      <c r="L4" s="109" t="str">
        <f t="shared" si="2"/>
        <v/>
      </c>
      <c r="M4" s="109" t="str">
        <f t="shared" si="2"/>
        <v/>
      </c>
      <c r="N4" s="109" t="str">
        <f t="shared" si="2"/>
        <v/>
      </c>
      <c r="O4" s="109" t="str">
        <f t="shared" si="2"/>
        <v/>
      </c>
      <c r="P4" s="109" t="str">
        <f t="shared" si="2"/>
        <v/>
      </c>
      <c r="Q4" s="109" t="str">
        <f t="shared" si="2"/>
        <v/>
      </c>
      <c r="R4" s="109" t="str">
        <f t="shared" si="2"/>
        <v/>
      </c>
      <c r="S4" s="109" t="str">
        <f t="shared" si="2"/>
        <v/>
      </c>
      <c r="T4" s="109" t="str">
        <f t="shared" si="3"/>
        <v/>
      </c>
      <c r="U4" s="109" t="str">
        <f t="shared" si="3"/>
        <v/>
      </c>
      <c r="V4" s="109" t="str">
        <f t="shared" si="3"/>
        <v/>
      </c>
      <c r="W4" s="109" t="str">
        <f t="shared" si="3"/>
        <v/>
      </c>
      <c r="X4" s="109" t="str">
        <f t="shared" si="3"/>
        <v/>
      </c>
      <c r="Y4" s="109" t="str">
        <f t="shared" si="3"/>
        <v/>
      </c>
      <c r="Z4" s="109" t="str">
        <f t="shared" si="3"/>
        <v/>
      </c>
      <c r="AA4" s="109" t="str">
        <f t="shared" si="3"/>
        <v/>
      </c>
      <c r="AB4" s="109" t="str">
        <f t="shared" si="3"/>
        <v/>
      </c>
      <c r="AC4" s="109" t="str">
        <f t="shared" si="3"/>
        <v/>
      </c>
      <c r="AD4" s="109" t="str">
        <f t="shared" si="4"/>
        <v/>
      </c>
      <c r="AE4" s="109" t="str">
        <f t="shared" si="4"/>
        <v/>
      </c>
      <c r="AF4" s="109" t="str">
        <f t="shared" si="4"/>
        <v/>
      </c>
      <c r="AG4" s="109" t="str">
        <f t="shared" si="4"/>
        <v/>
      </c>
      <c r="AH4" s="109" t="str">
        <f t="shared" si="4"/>
        <v/>
      </c>
      <c r="AI4" s="109" t="str">
        <f t="shared" si="4"/>
        <v/>
      </c>
      <c r="AJ4" s="109" t="str">
        <f t="shared" si="4"/>
        <v/>
      </c>
      <c r="AK4" s="109" t="str">
        <f t="shared" si="4"/>
        <v/>
      </c>
      <c r="AL4" s="109" t="str">
        <f t="shared" si="4"/>
        <v/>
      </c>
      <c r="AM4" s="109" t="str">
        <f t="shared" si="4"/>
        <v/>
      </c>
      <c r="AN4" s="109" t="str">
        <f t="shared" si="5"/>
        <v/>
      </c>
      <c r="AO4" s="109" t="str">
        <f t="shared" si="5"/>
        <v/>
      </c>
      <c r="AP4" s="109" t="str">
        <f t="shared" si="5"/>
        <v/>
      </c>
      <c r="AQ4" s="109" t="str">
        <f t="shared" si="5"/>
        <v/>
      </c>
      <c r="AR4" s="109" t="str">
        <f t="shared" si="5"/>
        <v/>
      </c>
      <c r="AS4" s="109" t="str">
        <f t="shared" si="5"/>
        <v/>
      </c>
      <c r="AT4" s="109" t="str">
        <f t="shared" si="5"/>
        <v/>
      </c>
      <c r="AU4" s="109" t="str">
        <f t="shared" si="5"/>
        <v/>
      </c>
      <c r="AV4" s="109" t="str">
        <f t="shared" si="5"/>
        <v/>
      </c>
      <c r="AW4" s="109" t="str">
        <f t="shared" si="5"/>
        <v/>
      </c>
      <c r="AX4" s="109" t="str">
        <f t="shared" si="6"/>
        <v/>
      </c>
      <c r="AY4" s="109" t="str">
        <f t="shared" si="6"/>
        <v/>
      </c>
      <c r="AZ4" s="109" t="str">
        <f t="shared" si="6"/>
        <v/>
      </c>
      <c r="BA4" s="109" t="str">
        <f t="shared" si="6"/>
        <v/>
      </c>
      <c r="BB4" s="109" t="str">
        <f t="shared" si="6"/>
        <v/>
      </c>
      <c r="BC4" s="109" t="str">
        <f t="shared" si="6"/>
        <v/>
      </c>
      <c r="BD4" s="109" t="str">
        <f t="shared" si="6"/>
        <v/>
      </c>
      <c r="BE4" s="109" t="str">
        <f t="shared" si="6"/>
        <v/>
      </c>
      <c r="BF4" s="109" t="str">
        <f t="shared" si="6"/>
        <v/>
      </c>
      <c r="BG4" s="109" t="str">
        <f t="shared" si="6"/>
        <v/>
      </c>
      <c r="BH4" s="109" t="str">
        <f t="shared" si="7"/>
        <v/>
      </c>
      <c r="BI4" s="109" t="str">
        <f t="shared" si="7"/>
        <v/>
      </c>
      <c r="BJ4" s="109" t="str">
        <f t="shared" si="7"/>
        <v/>
      </c>
      <c r="BK4" s="109" t="str">
        <f t="shared" si="7"/>
        <v/>
      </c>
      <c r="BL4" s="109" t="str">
        <f t="shared" si="7"/>
        <v/>
      </c>
      <c r="BM4" s="109" t="str">
        <f t="shared" si="7"/>
        <v/>
      </c>
      <c r="BN4" s="109" t="str">
        <f t="shared" si="7"/>
        <v/>
      </c>
      <c r="BO4" s="109" t="str">
        <f t="shared" si="7"/>
        <v/>
      </c>
      <c r="BP4" s="109" t="str">
        <f t="shared" si="7"/>
        <v/>
      </c>
      <c r="BQ4" s="109" t="str">
        <f t="shared" si="7"/>
        <v/>
      </c>
      <c r="BR4" s="109" t="str">
        <f t="shared" si="8"/>
        <v/>
      </c>
      <c r="BS4" s="109" t="str">
        <f t="shared" si="8"/>
        <v/>
      </c>
      <c r="BT4" s="109" t="str">
        <f t="shared" si="8"/>
        <v/>
      </c>
      <c r="BU4" s="109" t="str">
        <f t="shared" si="8"/>
        <v/>
      </c>
      <c r="BV4" s="109" t="str">
        <f t="shared" si="8"/>
        <v/>
      </c>
      <c r="BW4" s="109" t="str">
        <f t="shared" si="8"/>
        <v/>
      </c>
      <c r="BX4" s="109" t="str">
        <f t="shared" si="8"/>
        <v/>
      </c>
      <c r="BY4" s="109" t="str">
        <f t="shared" si="8"/>
        <v/>
      </c>
      <c r="BZ4" s="109" t="str">
        <f t="shared" si="8"/>
        <v/>
      </c>
      <c r="CA4" s="109" t="str">
        <f t="shared" si="8"/>
        <v/>
      </c>
      <c r="CB4" s="109" t="str">
        <f t="shared" si="9"/>
        <v/>
      </c>
      <c r="CC4" s="109" t="str">
        <f t="shared" si="9"/>
        <v/>
      </c>
      <c r="CD4" s="109" t="str">
        <f t="shared" si="9"/>
        <v/>
      </c>
      <c r="CE4" s="109" t="str">
        <f t="shared" si="9"/>
        <v/>
      </c>
      <c r="CF4" s="109" t="str">
        <f t="shared" si="9"/>
        <v/>
      </c>
      <c r="CG4" s="109" t="str">
        <f t="shared" si="9"/>
        <v/>
      </c>
      <c r="CH4" s="109" t="str">
        <f t="shared" si="9"/>
        <v/>
      </c>
      <c r="CI4" s="109" t="str">
        <f t="shared" si="9"/>
        <v/>
      </c>
      <c r="CJ4" s="109" t="str">
        <f t="shared" si="9"/>
        <v/>
      </c>
      <c r="CK4" s="109" t="str">
        <f t="shared" si="9"/>
        <v/>
      </c>
      <c r="CL4" s="109" t="str">
        <f t="shared" si="10"/>
        <v/>
      </c>
      <c r="CM4" s="109" t="str">
        <f t="shared" si="10"/>
        <v/>
      </c>
      <c r="CN4" s="109" t="str">
        <f t="shared" si="10"/>
        <v/>
      </c>
      <c r="CO4" s="109" t="str">
        <f t="shared" si="10"/>
        <v/>
      </c>
      <c r="CP4" s="109" t="str">
        <f t="shared" si="10"/>
        <v/>
      </c>
      <c r="CQ4" s="109" t="str">
        <f t="shared" si="10"/>
        <v/>
      </c>
      <c r="CR4" s="109" t="str">
        <f t="shared" si="10"/>
        <v/>
      </c>
      <c r="CS4" s="109" t="str">
        <f t="shared" si="10"/>
        <v/>
      </c>
      <c r="CT4" s="109" t="str">
        <f t="shared" si="10"/>
        <v/>
      </c>
      <c r="CU4" s="109" t="str">
        <f t="shared" si="10"/>
        <v/>
      </c>
      <c r="CV4" s="109" t="str">
        <f t="shared" si="11"/>
        <v/>
      </c>
      <c r="CW4" s="109" t="str">
        <f t="shared" si="11"/>
        <v/>
      </c>
      <c r="CX4" s="109" t="str">
        <f t="shared" si="11"/>
        <v/>
      </c>
      <c r="CY4" s="109" t="str">
        <f t="shared" si="11"/>
        <v/>
      </c>
      <c r="CZ4" s="109" t="str">
        <f t="shared" si="11"/>
        <v/>
      </c>
      <c r="DA4" s="109" t="str">
        <f t="shared" si="11"/>
        <v/>
      </c>
      <c r="DB4" s="109" t="str">
        <f t="shared" si="11"/>
        <v/>
      </c>
      <c r="DC4" s="109" t="str">
        <f t="shared" si="11"/>
        <v/>
      </c>
    </row>
    <row r="5" spans="1:107" ht="26.25" customHeight="1" x14ac:dyDescent="0.25">
      <c r="A5" s="92" t="s">
        <v>312</v>
      </c>
      <c r="B5" s="76" t="s">
        <v>350</v>
      </c>
      <c r="C5" s="77" t="s">
        <v>467</v>
      </c>
      <c r="D5" s="77" t="s">
        <v>468</v>
      </c>
      <c r="E5" s="94">
        <v>46095</v>
      </c>
      <c r="F5" s="108">
        <v>5</v>
      </c>
      <c r="G5" s="110">
        <f t="shared" si="0"/>
        <v>46099</v>
      </c>
      <c r="H5" s="102">
        <v>1</v>
      </c>
      <c r="I5" s="97" t="str">
        <f t="shared" ca="1" si="1"/>
        <v>Done</v>
      </c>
      <c r="J5" s="109" t="str">
        <f t="shared" si="2"/>
        <v/>
      </c>
      <c r="K5" s="109" t="str">
        <f t="shared" si="2"/>
        <v/>
      </c>
      <c r="L5" s="109" t="str">
        <f t="shared" si="2"/>
        <v/>
      </c>
      <c r="M5" s="109" t="str">
        <f t="shared" si="2"/>
        <v/>
      </c>
      <c r="N5" s="109" t="str">
        <f t="shared" si="2"/>
        <v/>
      </c>
      <c r="O5" s="109" t="str">
        <f t="shared" si="2"/>
        <v/>
      </c>
      <c r="P5" s="109" t="str">
        <f t="shared" si="2"/>
        <v/>
      </c>
      <c r="Q5" s="109" t="str">
        <f t="shared" si="2"/>
        <v/>
      </c>
      <c r="R5" s="109" t="str">
        <f t="shared" si="2"/>
        <v/>
      </c>
      <c r="S5" s="109" t="str">
        <f t="shared" si="2"/>
        <v/>
      </c>
      <c r="T5" s="109" t="str">
        <f t="shared" si="3"/>
        <v/>
      </c>
      <c r="U5" s="109" t="str">
        <f t="shared" si="3"/>
        <v/>
      </c>
      <c r="V5" s="109" t="str">
        <f t="shared" si="3"/>
        <v/>
      </c>
      <c r="W5" s="109" t="str">
        <f t="shared" si="3"/>
        <v/>
      </c>
      <c r="X5" s="109" t="str">
        <f t="shared" si="3"/>
        <v/>
      </c>
      <c r="Y5" s="109" t="str">
        <f t="shared" si="3"/>
        <v/>
      </c>
      <c r="Z5" s="109" t="str">
        <f t="shared" si="3"/>
        <v/>
      </c>
      <c r="AA5" s="109" t="str">
        <f t="shared" si="3"/>
        <v/>
      </c>
      <c r="AB5" s="109" t="str">
        <f t="shared" si="3"/>
        <v/>
      </c>
      <c r="AC5" s="109" t="str">
        <f t="shared" si="3"/>
        <v/>
      </c>
      <c r="AD5" s="109" t="str">
        <f t="shared" si="4"/>
        <v/>
      </c>
      <c r="AE5" s="109" t="str">
        <f t="shared" si="4"/>
        <v/>
      </c>
      <c r="AF5" s="109" t="str">
        <f t="shared" si="4"/>
        <v/>
      </c>
      <c r="AG5" s="109" t="str">
        <f t="shared" si="4"/>
        <v/>
      </c>
      <c r="AH5" s="109" t="str">
        <f t="shared" si="4"/>
        <v/>
      </c>
      <c r="AI5" s="109" t="str">
        <f t="shared" si="4"/>
        <v/>
      </c>
      <c r="AJ5" s="109" t="str">
        <f t="shared" si="4"/>
        <v/>
      </c>
      <c r="AK5" s="109" t="str">
        <f t="shared" si="4"/>
        <v/>
      </c>
      <c r="AL5" s="109" t="str">
        <f t="shared" si="4"/>
        <v/>
      </c>
      <c r="AM5" s="109" t="str">
        <f t="shared" si="4"/>
        <v/>
      </c>
      <c r="AN5" s="109" t="str">
        <f t="shared" si="5"/>
        <v/>
      </c>
      <c r="AO5" s="109" t="str">
        <f t="shared" si="5"/>
        <v/>
      </c>
      <c r="AP5" s="109" t="str">
        <f t="shared" si="5"/>
        <v/>
      </c>
      <c r="AQ5" s="109" t="str">
        <f t="shared" si="5"/>
        <v/>
      </c>
      <c r="AR5" s="109" t="str">
        <f t="shared" si="5"/>
        <v/>
      </c>
      <c r="AS5" s="109" t="str">
        <f t="shared" si="5"/>
        <v/>
      </c>
      <c r="AT5" s="109" t="str">
        <f t="shared" si="5"/>
        <v/>
      </c>
      <c r="AU5" s="109" t="str">
        <f t="shared" si="5"/>
        <v/>
      </c>
      <c r="AV5" s="109" t="str">
        <f t="shared" si="5"/>
        <v/>
      </c>
      <c r="AW5" s="109" t="str">
        <f t="shared" si="5"/>
        <v/>
      </c>
      <c r="AX5" s="109" t="str">
        <f t="shared" si="6"/>
        <v/>
      </c>
      <c r="AY5" s="109" t="str">
        <f t="shared" si="6"/>
        <v/>
      </c>
      <c r="AZ5" s="109" t="str">
        <f t="shared" si="6"/>
        <v/>
      </c>
      <c r="BA5" s="109" t="str">
        <f t="shared" si="6"/>
        <v/>
      </c>
      <c r="BB5" s="109" t="str">
        <f t="shared" si="6"/>
        <v/>
      </c>
      <c r="BC5" s="109" t="str">
        <f t="shared" si="6"/>
        <v/>
      </c>
      <c r="BD5" s="109" t="str">
        <f t="shared" si="6"/>
        <v/>
      </c>
      <c r="BE5" s="109" t="str">
        <f t="shared" si="6"/>
        <v/>
      </c>
      <c r="BF5" s="109" t="str">
        <f t="shared" si="6"/>
        <v/>
      </c>
      <c r="BG5" s="109" t="str">
        <f t="shared" si="6"/>
        <v/>
      </c>
      <c r="BH5" s="109" t="str">
        <f t="shared" si="7"/>
        <v/>
      </c>
      <c r="BI5" s="109" t="str">
        <f t="shared" si="7"/>
        <v/>
      </c>
      <c r="BJ5" s="109" t="str">
        <f t="shared" si="7"/>
        <v/>
      </c>
      <c r="BK5" s="109" t="str">
        <f t="shared" si="7"/>
        <v/>
      </c>
      <c r="BL5" s="109" t="str">
        <f t="shared" si="7"/>
        <v/>
      </c>
      <c r="BM5" s="109" t="str">
        <f t="shared" si="7"/>
        <v/>
      </c>
      <c r="BN5" s="109" t="str">
        <f t="shared" si="7"/>
        <v/>
      </c>
      <c r="BO5" s="109" t="str">
        <f t="shared" si="7"/>
        <v/>
      </c>
      <c r="BP5" s="109" t="str">
        <f t="shared" si="7"/>
        <v/>
      </c>
      <c r="BQ5" s="109" t="str">
        <f t="shared" si="7"/>
        <v/>
      </c>
      <c r="BR5" s="109" t="str">
        <f t="shared" si="8"/>
        <v/>
      </c>
      <c r="BS5" s="109" t="str">
        <f t="shared" si="8"/>
        <v/>
      </c>
      <c r="BT5" s="109" t="str">
        <f t="shared" si="8"/>
        <v/>
      </c>
      <c r="BU5" s="109" t="str">
        <f t="shared" si="8"/>
        <v/>
      </c>
      <c r="BV5" s="109" t="str">
        <f t="shared" si="8"/>
        <v/>
      </c>
      <c r="BW5" s="109" t="str">
        <f t="shared" si="8"/>
        <v/>
      </c>
      <c r="BX5" s="109" t="str">
        <f t="shared" si="8"/>
        <v/>
      </c>
      <c r="BY5" s="109" t="str">
        <f t="shared" si="8"/>
        <v/>
      </c>
      <c r="BZ5" s="109" t="str">
        <f t="shared" si="8"/>
        <v/>
      </c>
      <c r="CA5" s="109" t="str">
        <f t="shared" si="8"/>
        <v/>
      </c>
      <c r="CB5" s="109" t="str">
        <f t="shared" si="9"/>
        <v/>
      </c>
      <c r="CC5" s="109" t="str">
        <f t="shared" si="9"/>
        <v/>
      </c>
      <c r="CD5" s="109" t="str">
        <f t="shared" si="9"/>
        <v/>
      </c>
      <c r="CE5" s="109" t="str">
        <f t="shared" si="9"/>
        <v/>
      </c>
      <c r="CF5" s="109" t="str">
        <f t="shared" si="9"/>
        <v/>
      </c>
      <c r="CG5" s="109" t="str">
        <f t="shared" si="9"/>
        <v/>
      </c>
      <c r="CH5" s="109" t="str">
        <f t="shared" si="9"/>
        <v/>
      </c>
      <c r="CI5" s="109" t="str">
        <f t="shared" si="9"/>
        <v/>
      </c>
      <c r="CJ5" s="109" t="str">
        <f t="shared" si="9"/>
        <v/>
      </c>
      <c r="CK5" s="109" t="str">
        <f t="shared" si="9"/>
        <v/>
      </c>
      <c r="CL5" s="109" t="str">
        <f t="shared" si="10"/>
        <v/>
      </c>
      <c r="CM5" s="109" t="str">
        <f t="shared" si="10"/>
        <v/>
      </c>
      <c r="CN5" s="109" t="str">
        <f t="shared" si="10"/>
        <v/>
      </c>
      <c r="CO5" s="109" t="str">
        <f t="shared" si="10"/>
        <v/>
      </c>
      <c r="CP5" s="109" t="str">
        <f t="shared" si="10"/>
        <v/>
      </c>
      <c r="CQ5" s="109" t="str">
        <f t="shared" si="10"/>
        <v/>
      </c>
      <c r="CR5" s="109" t="str">
        <f t="shared" si="10"/>
        <v/>
      </c>
      <c r="CS5" s="109" t="str">
        <f t="shared" si="10"/>
        <v/>
      </c>
      <c r="CT5" s="109" t="str">
        <f t="shared" si="10"/>
        <v/>
      </c>
      <c r="CU5" s="109" t="str">
        <f t="shared" si="10"/>
        <v/>
      </c>
      <c r="CV5" s="109" t="str">
        <f t="shared" si="11"/>
        <v/>
      </c>
      <c r="CW5" s="109" t="str">
        <f t="shared" si="11"/>
        <v/>
      </c>
      <c r="CX5" s="109" t="str">
        <f t="shared" si="11"/>
        <v/>
      </c>
      <c r="CY5" s="109" t="str">
        <f t="shared" si="11"/>
        <v/>
      </c>
      <c r="CZ5" s="109" t="str">
        <f t="shared" si="11"/>
        <v/>
      </c>
      <c r="DA5" s="109" t="str">
        <f t="shared" si="11"/>
        <v/>
      </c>
      <c r="DB5" s="109" t="str">
        <f t="shared" si="11"/>
        <v/>
      </c>
      <c r="DC5" s="109" t="str">
        <f t="shared" si="11"/>
        <v/>
      </c>
    </row>
    <row r="6" spans="1:107" ht="26.25" customHeight="1" x14ac:dyDescent="0.25">
      <c r="A6" s="92" t="s">
        <v>312</v>
      </c>
      <c r="B6" s="76" t="s">
        <v>350</v>
      </c>
      <c r="C6" s="77" t="s">
        <v>469</v>
      </c>
      <c r="D6" s="77" t="s">
        <v>469</v>
      </c>
      <c r="E6" s="94">
        <v>46101</v>
      </c>
      <c r="F6" s="108">
        <v>3</v>
      </c>
      <c r="G6" s="110">
        <f t="shared" si="0"/>
        <v>46103</v>
      </c>
      <c r="H6" s="102">
        <v>1</v>
      </c>
      <c r="I6" s="97" t="str">
        <f t="shared" ca="1" si="1"/>
        <v>Done</v>
      </c>
      <c r="J6" s="109" t="str">
        <f t="shared" si="2"/>
        <v/>
      </c>
      <c r="K6" s="109" t="str">
        <f t="shared" si="2"/>
        <v/>
      </c>
      <c r="L6" s="109" t="str">
        <f t="shared" si="2"/>
        <v/>
      </c>
      <c r="M6" s="109" t="str">
        <f t="shared" si="2"/>
        <v/>
      </c>
      <c r="N6" s="109" t="str">
        <f t="shared" si="2"/>
        <v/>
      </c>
      <c r="O6" s="109" t="str">
        <f t="shared" si="2"/>
        <v/>
      </c>
      <c r="P6" s="109" t="str">
        <f t="shared" si="2"/>
        <v/>
      </c>
      <c r="Q6" s="109" t="str">
        <f t="shared" si="2"/>
        <v/>
      </c>
      <c r="R6" s="109" t="str">
        <f t="shared" si="2"/>
        <v/>
      </c>
      <c r="S6" s="109" t="str">
        <f t="shared" si="2"/>
        <v/>
      </c>
      <c r="T6" s="109" t="str">
        <f t="shared" si="3"/>
        <v/>
      </c>
      <c r="U6" s="109" t="str">
        <f t="shared" si="3"/>
        <v/>
      </c>
      <c r="V6" s="109" t="str">
        <f t="shared" si="3"/>
        <v/>
      </c>
      <c r="W6" s="109" t="str">
        <f t="shared" si="3"/>
        <v/>
      </c>
      <c r="X6" s="109" t="str">
        <f t="shared" si="3"/>
        <v/>
      </c>
      <c r="Y6" s="109" t="str">
        <f t="shared" si="3"/>
        <v/>
      </c>
      <c r="Z6" s="109" t="str">
        <f t="shared" si="3"/>
        <v/>
      </c>
      <c r="AA6" s="109" t="str">
        <f t="shared" si="3"/>
        <v/>
      </c>
      <c r="AB6" s="109" t="str">
        <f t="shared" si="3"/>
        <v/>
      </c>
      <c r="AC6" s="109" t="str">
        <f t="shared" si="3"/>
        <v/>
      </c>
      <c r="AD6" s="109" t="str">
        <f t="shared" si="4"/>
        <v/>
      </c>
      <c r="AE6" s="109" t="str">
        <f t="shared" si="4"/>
        <v/>
      </c>
      <c r="AF6" s="109" t="str">
        <f t="shared" si="4"/>
        <v/>
      </c>
      <c r="AG6" s="109" t="str">
        <f t="shared" si="4"/>
        <v/>
      </c>
      <c r="AH6" s="109" t="str">
        <f t="shared" si="4"/>
        <v/>
      </c>
      <c r="AI6" s="109" t="str">
        <f t="shared" si="4"/>
        <v/>
      </c>
      <c r="AJ6" s="109" t="str">
        <f t="shared" si="4"/>
        <v/>
      </c>
      <c r="AK6" s="109" t="str">
        <f t="shared" si="4"/>
        <v/>
      </c>
      <c r="AL6" s="109" t="str">
        <f t="shared" si="4"/>
        <v/>
      </c>
      <c r="AM6" s="109" t="str">
        <f t="shared" si="4"/>
        <v/>
      </c>
      <c r="AN6" s="109" t="str">
        <f t="shared" si="5"/>
        <v/>
      </c>
      <c r="AO6" s="109" t="str">
        <f t="shared" si="5"/>
        <v/>
      </c>
      <c r="AP6" s="109" t="str">
        <f t="shared" si="5"/>
        <v/>
      </c>
      <c r="AQ6" s="109" t="str">
        <f t="shared" si="5"/>
        <v/>
      </c>
      <c r="AR6" s="109" t="str">
        <f t="shared" si="5"/>
        <v/>
      </c>
      <c r="AS6" s="109" t="str">
        <f t="shared" si="5"/>
        <v/>
      </c>
      <c r="AT6" s="109" t="str">
        <f t="shared" si="5"/>
        <v/>
      </c>
      <c r="AU6" s="109" t="str">
        <f t="shared" si="5"/>
        <v/>
      </c>
      <c r="AV6" s="109" t="str">
        <f t="shared" si="5"/>
        <v/>
      </c>
      <c r="AW6" s="109" t="str">
        <f t="shared" si="5"/>
        <v/>
      </c>
      <c r="AX6" s="109" t="str">
        <f t="shared" si="6"/>
        <v/>
      </c>
      <c r="AY6" s="109" t="str">
        <f t="shared" si="6"/>
        <v/>
      </c>
      <c r="AZ6" s="109" t="str">
        <f t="shared" si="6"/>
        <v/>
      </c>
      <c r="BA6" s="109" t="str">
        <f t="shared" si="6"/>
        <v/>
      </c>
      <c r="BB6" s="109" t="str">
        <f t="shared" si="6"/>
        <v/>
      </c>
      <c r="BC6" s="109" t="str">
        <f t="shared" si="6"/>
        <v/>
      </c>
      <c r="BD6" s="109" t="str">
        <f t="shared" si="6"/>
        <v/>
      </c>
      <c r="BE6" s="109" t="str">
        <f t="shared" si="6"/>
        <v/>
      </c>
      <c r="BF6" s="109" t="str">
        <f t="shared" si="6"/>
        <v/>
      </c>
      <c r="BG6" s="109" t="str">
        <f t="shared" si="6"/>
        <v/>
      </c>
      <c r="BH6" s="109" t="str">
        <f t="shared" si="7"/>
        <v/>
      </c>
      <c r="BI6" s="109" t="str">
        <f t="shared" si="7"/>
        <v/>
      </c>
      <c r="BJ6" s="109" t="str">
        <f t="shared" si="7"/>
        <v/>
      </c>
      <c r="BK6" s="109" t="str">
        <f t="shared" si="7"/>
        <v/>
      </c>
      <c r="BL6" s="109" t="str">
        <f t="shared" si="7"/>
        <v/>
      </c>
      <c r="BM6" s="109" t="str">
        <f t="shared" si="7"/>
        <v/>
      </c>
      <c r="BN6" s="109" t="str">
        <f t="shared" si="7"/>
        <v/>
      </c>
      <c r="BO6" s="109" t="str">
        <f t="shared" si="7"/>
        <v/>
      </c>
      <c r="BP6" s="109" t="str">
        <f t="shared" si="7"/>
        <v/>
      </c>
      <c r="BQ6" s="109" t="str">
        <f t="shared" si="7"/>
        <v/>
      </c>
      <c r="BR6" s="109" t="str">
        <f t="shared" si="8"/>
        <v/>
      </c>
      <c r="BS6" s="109" t="str">
        <f t="shared" si="8"/>
        <v/>
      </c>
      <c r="BT6" s="109" t="str">
        <f t="shared" si="8"/>
        <v/>
      </c>
      <c r="BU6" s="109" t="str">
        <f t="shared" si="8"/>
        <v/>
      </c>
      <c r="BV6" s="109" t="str">
        <f t="shared" si="8"/>
        <v/>
      </c>
      <c r="BW6" s="109" t="str">
        <f t="shared" si="8"/>
        <v/>
      </c>
      <c r="BX6" s="109" t="str">
        <f t="shared" si="8"/>
        <v/>
      </c>
      <c r="BY6" s="109" t="str">
        <f t="shared" si="8"/>
        <v/>
      </c>
      <c r="BZ6" s="109" t="str">
        <f t="shared" si="8"/>
        <v/>
      </c>
      <c r="CA6" s="109" t="str">
        <f t="shared" si="8"/>
        <v/>
      </c>
      <c r="CB6" s="109" t="str">
        <f t="shared" si="9"/>
        <v/>
      </c>
      <c r="CC6" s="109" t="str">
        <f t="shared" si="9"/>
        <v/>
      </c>
      <c r="CD6" s="109" t="str">
        <f t="shared" si="9"/>
        <v/>
      </c>
      <c r="CE6" s="109" t="str">
        <f t="shared" si="9"/>
        <v/>
      </c>
      <c r="CF6" s="109" t="str">
        <f t="shared" si="9"/>
        <v/>
      </c>
      <c r="CG6" s="109" t="str">
        <f t="shared" si="9"/>
        <v/>
      </c>
      <c r="CH6" s="109" t="str">
        <f t="shared" si="9"/>
        <v/>
      </c>
      <c r="CI6" s="109" t="str">
        <f t="shared" si="9"/>
        <v/>
      </c>
      <c r="CJ6" s="109" t="str">
        <f t="shared" si="9"/>
        <v/>
      </c>
      <c r="CK6" s="109" t="str">
        <f t="shared" si="9"/>
        <v/>
      </c>
      <c r="CL6" s="109" t="str">
        <f t="shared" si="10"/>
        <v/>
      </c>
      <c r="CM6" s="109" t="str">
        <f t="shared" si="10"/>
        <v/>
      </c>
      <c r="CN6" s="109" t="str">
        <f t="shared" si="10"/>
        <v/>
      </c>
      <c r="CO6" s="109" t="str">
        <f t="shared" si="10"/>
        <v/>
      </c>
      <c r="CP6" s="109" t="str">
        <f t="shared" si="10"/>
        <v/>
      </c>
      <c r="CQ6" s="109" t="str">
        <f t="shared" si="10"/>
        <v/>
      </c>
      <c r="CR6" s="109" t="str">
        <f t="shared" si="10"/>
        <v/>
      </c>
      <c r="CS6" s="109" t="str">
        <f t="shared" si="10"/>
        <v/>
      </c>
      <c r="CT6" s="109" t="str">
        <f t="shared" si="10"/>
        <v/>
      </c>
      <c r="CU6" s="109" t="str">
        <f t="shared" si="10"/>
        <v/>
      </c>
      <c r="CV6" s="109" t="str">
        <f t="shared" si="11"/>
        <v/>
      </c>
      <c r="CW6" s="109" t="str">
        <f t="shared" si="11"/>
        <v/>
      </c>
      <c r="CX6" s="109" t="str">
        <f t="shared" si="11"/>
        <v/>
      </c>
      <c r="CY6" s="109" t="str">
        <f t="shared" si="11"/>
        <v/>
      </c>
      <c r="CZ6" s="109" t="str">
        <f t="shared" si="11"/>
        <v/>
      </c>
      <c r="DA6" s="109" t="str">
        <f t="shared" si="11"/>
        <v/>
      </c>
      <c r="DB6" s="109" t="str">
        <f t="shared" si="11"/>
        <v/>
      </c>
      <c r="DC6" s="109" t="str">
        <f t="shared" si="11"/>
        <v/>
      </c>
    </row>
    <row r="7" spans="1:107" ht="26.25" customHeight="1" x14ac:dyDescent="0.25">
      <c r="A7" s="92" t="s">
        <v>312</v>
      </c>
      <c r="B7" s="76" t="s">
        <v>350</v>
      </c>
      <c r="C7" s="77" t="s">
        <v>470</v>
      </c>
      <c r="D7" s="77" t="s">
        <v>470</v>
      </c>
      <c r="E7" s="94">
        <v>46103</v>
      </c>
      <c r="F7" s="108">
        <v>4</v>
      </c>
      <c r="G7" s="110">
        <f t="shared" si="0"/>
        <v>46106</v>
      </c>
      <c r="H7" s="102">
        <v>1</v>
      </c>
      <c r="I7" s="97" t="str">
        <f t="shared" ca="1" si="1"/>
        <v>Done</v>
      </c>
      <c r="J7" s="109" t="str">
        <f t="shared" si="2"/>
        <v/>
      </c>
      <c r="K7" s="109" t="str">
        <f t="shared" si="2"/>
        <v/>
      </c>
      <c r="L7" s="109" t="str">
        <f t="shared" si="2"/>
        <v/>
      </c>
      <c r="M7" s="109" t="str">
        <f t="shared" si="2"/>
        <v/>
      </c>
      <c r="N7" s="109" t="str">
        <f t="shared" si="2"/>
        <v/>
      </c>
      <c r="O7" s="109" t="str">
        <f t="shared" si="2"/>
        <v/>
      </c>
      <c r="P7" s="109" t="str">
        <f t="shared" si="2"/>
        <v/>
      </c>
      <c r="Q7" s="109" t="str">
        <f t="shared" si="2"/>
        <v/>
      </c>
      <c r="R7" s="109" t="str">
        <f t="shared" si="2"/>
        <v/>
      </c>
      <c r="S7" s="109" t="str">
        <f t="shared" si="2"/>
        <v/>
      </c>
      <c r="T7" s="109" t="str">
        <f t="shared" si="3"/>
        <v/>
      </c>
      <c r="U7" s="109" t="str">
        <f t="shared" si="3"/>
        <v/>
      </c>
      <c r="V7" s="109" t="str">
        <f t="shared" si="3"/>
        <v/>
      </c>
      <c r="W7" s="109" t="str">
        <f t="shared" si="3"/>
        <v/>
      </c>
      <c r="X7" s="109" t="str">
        <f t="shared" si="3"/>
        <v/>
      </c>
      <c r="Y7" s="109" t="str">
        <f t="shared" si="3"/>
        <v/>
      </c>
      <c r="Z7" s="109" t="str">
        <f t="shared" si="3"/>
        <v/>
      </c>
      <c r="AA7" s="109" t="str">
        <f t="shared" si="3"/>
        <v/>
      </c>
      <c r="AB7" s="109" t="str">
        <f t="shared" si="3"/>
        <v/>
      </c>
      <c r="AC7" s="109" t="str">
        <f t="shared" si="3"/>
        <v/>
      </c>
      <c r="AD7" s="109" t="str">
        <f t="shared" si="4"/>
        <v/>
      </c>
      <c r="AE7" s="109" t="str">
        <f t="shared" si="4"/>
        <v/>
      </c>
      <c r="AF7" s="109" t="str">
        <f t="shared" si="4"/>
        <v/>
      </c>
      <c r="AG7" s="109" t="str">
        <f t="shared" si="4"/>
        <v/>
      </c>
      <c r="AH7" s="109" t="str">
        <f t="shared" si="4"/>
        <v/>
      </c>
      <c r="AI7" s="109" t="str">
        <f t="shared" si="4"/>
        <v/>
      </c>
      <c r="AJ7" s="109" t="str">
        <f t="shared" si="4"/>
        <v/>
      </c>
      <c r="AK7" s="109" t="str">
        <f t="shared" si="4"/>
        <v/>
      </c>
      <c r="AL7" s="109" t="str">
        <f t="shared" si="4"/>
        <v/>
      </c>
      <c r="AM7" s="109" t="str">
        <f t="shared" si="4"/>
        <v/>
      </c>
      <c r="AN7" s="109" t="str">
        <f t="shared" si="5"/>
        <v/>
      </c>
      <c r="AO7" s="109" t="str">
        <f t="shared" si="5"/>
        <v/>
      </c>
      <c r="AP7" s="109" t="str">
        <f t="shared" si="5"/>
        <v/>
      </c>
      <c r="AQ7" s="109" t="str">
        <f t="shared" si="5"/>
        <v/>
      </c>
      <c r="AR7" s="109" t="str">
        <f t="shared" si="5"/>
        <v/>
      </c>
      <c r="AS7" s="109" t="str">
        <f t="shared" si="5"/>
        <v/>
      </c>
      <c r="AT7" s="109" t="str">
        <f t="shared" si="5"/>
        <v/>
      </c>
      <c r="AU7" s="109" t="str">
        <f t="shared" si="5"/>
        <v/>
      </c>
      <c r="AV7" s="109" t="str">
        <f t="shared" si="5"/>
        <v/>
      </c>
      <c r="AW7" s="109" t="str">
        <f t="shared" si="5"/>
        <v/>
      </c>
      <c r="AX7" s="109" t="str">
        <f t="shared" si="6"/>
        <v/>
      </c>
      <c r="AY7" s="109" t="str">
        <f t="shared" si="6"/>
        <v/>
      </c>
      <c r="AZ7" s="109" t="str">
        <f t="shared" si="6"/>
        <v/>
      </c>
      <c r="BA7" s="109" t="str">
        <f t="shared" si="6"/>
        <v/>
      </c>
      <c r="BB7" s="109" t="str">
        <f t="shared" si="6"/>
        <v/>
      </c>
      <c r="BC7" s="109" t="str">
        <f t="shared" si="6"/>
        <v/>
      </c>
      <c r="BD7" s="109" t="str">
        <f t="shared" si="6"/>
        <v/>
      </c>
      <c r="BE7" s="109" t="str">
        <f t="shared" si="6"/>
        <v/>
      </c>
      <c r="BF7" s="109" t="str">
        <f t="shared" si="6"/>
        <v/>
      </c>
      <c r="BG7" s="109" t="str">
        <f t="shared" si="6"/>
        <v/>
      </c>
      <c r="BH7" s="109" t="str">
        <f t="shared" si="7"/>
        <v/>
      </c>
      <c r="BI7" s="109" t="str">
        <f t="shared" si="7"/>
        <v/>
      </c>
      <c r="BJ7" s="109" t="str">
        <f t="shared" si="7"/>
        <v/>
      </c>
      <c r="BK7" s="109" t="str">
        <f t="shared" si="7"/>
        <v/>
      </c>
      <c r="BL7" s="109" t="str">
        <f t="shared" si="7"/>
        <v/>
      </c>
      <c r="BM7" s="109" t="str">
        <f t="shared" si="7"/>
        <v/>
      </c>
      <c r="BN7" s="109" t="str">
        <f t="shared" si="7"/>
        <v/>
      </c>
      <c r="BO7" s="109" t="str">
        <f t="shared" si="7"/>
        <v/>
      </c>
      <c r="BP7" s="109" t="str">
        <f t="shared" si="7"/>
        <v/>
      </c>
      <c r="BQ7" s="109" t="str">
        <f t="shared" si="7"/>
        <v/>
      </c>
      <c r="BR7" s="109" t="str">
        <f t="shared" si="8"/>
        <v/>
      </c>
      <c r="BS7" s="109" t="str">
        <f t="shared" si="8"/>
        <v/>
      </c>
      <c r="BT7" s="109" t="str">
        <f t="shared" si="8"/>
        <v/>
      </c>
      <c r="BU7" s="109" t="str">
        <f t="shared" si="8"/>
        <v/>
      </c>
      <c r="BV7" s="109" t="str">
        <f t="shared" si="8"/>
        <v/>
      </c>
      <c r="BW7" s="109" t="str">
        <f t="shared" si="8"/>
        <v/>
      </c>
      <c r="BX7" s="109" t="str">
        <f t="shared" si="8"/>
        <v/>
      </c>
      <c r="BY7" s="109" t="str">
        <f t="shared" si="8"/>
        <v/>
      </c>
      <c r="BZ7" s="109" t="str">
        <f t="shared" si="8"/>
        <v/>
      </c>
      <c r="CA7" s="109" t="str">
        <f t="shared" si="8"/>
        <v/>
      </c>
      <c r="CB7" s="109" t="str">
        <f t="shared" si="9"/>
        <v/>
      </c>
      <c r="CC7" s="109" t="str">
        <f t="shared" si="9"/>
        <v/>
      </c>
      <c r="CD7" s="109" t="str">
        <f t="shared" si="9"/>
        <v/>
      </c>
      <c r="CE7" s="109" t="str">
        <f t="shared" si="9"/>
        <v/>
      </c>
      <c r="CF7" s="109" t="str">
        <f t="shared" si="9"/>
        <v/>
      </c>
      <c r="CG7" s="109" t="str">
        <f t="shared" si="9"/>
        <v/>
      </c>
      <c r="CH7" s="109" t="str">
        <f t="shared" si="9"/>
        <v/>
      </c>
      <c r="CI7" s="109" t="str">
        <f t="shared" si="9"/>
        <v/>
      </c>
      <c r="CJ7" s="109" t="str">
        <f t="shared" si="9"/>
        <v/>
      </c>
      <c r="CK7" s="109" t="str">
        <f t="shared" si="9"/>
        <v/>
      </c>
      <c r="CL7" s="109" t="str">
        <f t="shared" si="10"/>
        <v/>
      </c>
      <c r="CM7" s="109" t="str">
        <f t="shared" si="10"/>
        <v/>
      </c>
      <c r="CN7" s="109" t="str">
        <f t="shared" si="10"/>
        <v/>
      </c>
      <c r="CO7" s="109" t="str">
        <f t="shared" si="10"/>
        <v/>
      </c>
      <c r="CP7" s="109" t="str">
        <f t="shared" si="10"/>
        <v/>
      </c>
      <c r="CQ7" s="109" t="str">
        <f t="shared" si="10"/>
        <v/>
      </c>
      <c r="CR7" s="109" t="str">
        <f t="shared" si="10"/>
        <v/>
      </c>
      <c r="CS7" s="109" t="str">
        <f t="shared" si="10"/>
        <v/>
      </c>
      <c r="CT7" s="109" t="str">
        <f t="shared" si="10"/>
        <v/>
      </c>
      <c r="CU7" s="109" t="str">
        <f t="shared" si="10"/>
        <v/>
      </c>
      <c r="CV7" s="109" t="str">
        <f t="shared" si="11"/>
        <v/>
      </c>
      <c r="CW7" s="109" t="str">
        <f t="shared" si="11"/>
        <v/>
      </c>
      <c r="CX7" s="109" t="str">
        <f t="shared" si="11"/>
        <v/>
      </c>
      <c r="CY7" s="109" t="str">
        <f t="shared" si="11"/>
        <v/>
      </c>
      <c r="CZ7" s="109" t="str">
        <f t="shared" si="11"/>
        <v/>
      </c>
      <c r="DA7" s="109" t="str">
        <f t="shared" si="11"/>
        <v/>
      </c>
      <c r="DB7" s="109" t="str">
        <f t="shared" si="11"/>
        <v/>
      </c>
      <c r="DC7" s="109" t="str">
        <f t="shared" si="11"/>
        <v/>
      </c>
    </row>
    <row r="8" spans="1:107" ht="26.25" customHeight="1" x14ac:dyDescent="0.25">
      <c r="A8" s="92" t="s">
        <v>312</v>
      </c>
      <c r="B8" s="76" t="s">
        <v>350</v>
      </c>
      <c r="C8" s="77" t="s">
        <v>471</v>
      </c>
      <c r="D8" s="77" t="s">
        <v>471</v>
      </c>
      <c r="E8" s="94">
        <v>46107</v>
      </c>
      <c r="F8" s="108">
        <v>3</v>
      </c>
      <c r="G8" s="110">
        <f t="shared" si="0"/>
        <v>46109</v>
      </c>
      <c r="H8" s="102">
        <v>1</v>
      </c>
      <c r="I8" s="97" t="str">
        <f t="shared" ca="1" si="1"/>
        <v>Done</v>
      </c>
      <c r="J8" s="109" t="str">
        <f t="shared" si="2"/>
        <v/>
      </c>
      <c r="K8" s="109" t="str">
        <f t="shared" si="2"/>
        <v/>
      </c>
      <c r="L8" s="109" t="str">
        <f t="shared" si="2"/>
        <v/>
      </c>
      <c r="M8" s="109" t="str">
        <f t="shared" si="2"/>
        <v/>
      </c>
      <c r="N8" s="109" t="str">
        <f t="shared" si="2"/>
        <v/>
      </c>
      <c r="O8" s="109" t="str">
        <f t="shared" si="2"/>
        <v/>
      </c>
      <c r="P8" s="109" t="str">
        <f t="shared" si="2"/>
        <v/>
      </c>
      <c r="Q8" s="109" t="str">
        <f t="shared" si="2"/>
        <v/>
      </c>
      <c r="R8" s="109" t="str">
        <f t="shared" si="2"/>
        <v/>
      </c>
      <c r="S8" s="109" t="str">
        <f t="shared" si="2"/>
        <v/>
      </c>
      <c r="T8" s="109" t="str">
        <f t="shared" si="3"/>
        <v/>
      </c>
      <c r="U8" s="109" t="str">
        <f t="shared" si="3"/>
        <v/>
      </c>
      <c r="V8" s="109" t="str">
        <f t="shared" si="3"/>
        <v/>
      </c>
      <c r="W8" s="109" t="str">
        <f t="shared" si="3"/>
        <v/>
      </c>
      <c r="X8" s="109" t="str">
        <f t="shared" si="3"/>
        <v/>
      </c>
      <c r="Y8" s="109" t="str">
        <f t="shared" si="3"/>
        <v/>
      </c>
      <c r="Z8" s="109" t="str">
        <f t="shared" si="3"/>
        <v/>
      </c>
      <c r="AA8" s="109" t="str">
        <f t="shared" si="3"/>
        <v/>
      </c>
      <c r="AB8" s="109" t="str">
        <f t="shared" si="3"/>
        <v/>
      </c>
      <c r="AC8" s="109" t="str">
        <f t="shared" si="3"/>
        <v/>
      </c>
      <c r="AD8" s="109" t="str">
        <f t="shared" si="4"/>
        <v/>
      </c>
      <c r="AE8" s="109" t="str">
        <f t="shared" si="4"/>
        <v/>
      </c>
      <c r="AF8" s="109" t="str">
        <f t="shared" si="4"/>
        <v/>
      </c>
      <c r="AG8" s="109" t="str">
        <f t="shared" si="4"/>
        <v/>
      </c>
      <c r="AH8" s="109" t="str">
        <f t="shared" si="4"/>
        <v/>
      </c>
      <c r="AI8" s="109" t="str">
        <f t="shared" si="4"/>
        <v/>
      </c>
      <c r="AJ8" s="109" t="str">
        <f t="shared" si="4"/>
        <v/>
      </c>
      <c r="AK8" s="109" t="str">
        <f t="shared" si="4"/>
        <v/>
      </c>
      <c r="AL8" s="109" t="str">
        <f t="shared" si="4"/>
        <v/>
      </c>
      <c r="AM8" s="109" t="str">
        <f t="shared" si="4"/>
        <v/>
      </c>
      <c r="AN8" s="109" t="str">
        <f t="shared" si="5"/>
        <v/>
      </c>
      <c r="AO8" s="109" t="str">
        <f t="shared" si="5"/>
        <v/>
      </c>
      <c r="AP8" s="109" t="str">
        <f t="shared" si="5"/>
        <v/>
      </c>
      <c r="AQ8" s="109" t="str">
        <f t="shared" si="5"/>
        <v/>
      </c>
      <c r="AR8" s="109" t="str">
        <f t="shared" si="5"/>
        <v/>
      </c>
      <c r="AS8" s="109" t="str">
        <f t="shared" si="5"/>
        <v/>
      </c>
      <c r="AT8" s="109" t="str">
        <f t="shared" si="5"/>
        <v/>
      </c>
      <c r="AU8" s="109" t="str">
        <f t="shared" si="5"/>
        <v/>
      </c>
      <c r="AV8" s="109" t="str">
        <f t="shared" si="5"/>
        <v/>
      </c>
      <c r="AW8" s="109" t="str">
        <f t="shared" si="5"/>
        <v/>
      </c>
      <c r="AX8" s="109" t="str">
        <f t="shared" si="6"/>
        <v/>
      </c>
      <c r="AY8" s="109" t="str">
        <f t="shared" si="6"/>
        <v/>
      </c>
      <c r="AZ8" s="109" t="str">
        <f t="shared" si="6"/>
        <v/>
      </c>
      <c r="BA8" s="109" t="str">
        <f t="shared" si="6"/>
        <v/>
      </c>
      <c r="BB8" s="109" t="str">
        <f t="shared" si="6"/>
        <v/>
      </c>
      <c r="BC8" s="109" t="str">
        <f t="shared" si="6"/>
        <v/>
      </c>
      <c r="BD8" s="109" t="str">
        <f t="shared" si="6"/>
        <v/>
      </c>
      <c r="BE8" s="109" t="str">
        <f t="shared" si="6"/>
        <v/>
      </c>
      <c r="BF8" s="109" t="str">
        <f t="shared" si="6"/>
        <v/>
      </c>
      <c r="BG8" s="109" t="str">
        <f t="shared" si="6"/>
        <v/>
      </c>
      <c r="BH8" s="109" t="str">
        <f t="shared" si="7"/>
        <v/>
      </c>
      <c r="BI8" s="109" t="str">
        <f t="shared" si="7"/>
        <v/>
      </c>
      <c r="BJ8" s="109" t="str">
        <f t="shared" si="7"/>
        <v/>
      </c>
      <c r="BK8" s="109" t="str">
        <f t="shared" si="7"/>
        <v/>
      </c>
      <c r="BL8" s="109" t="str">
        <f t="shared" si="7"/>
        <v/>
      </c>
      <c r="BM8" s="109" t="str">
        <f t="shared" si="7"/>
        <v/>
      </c>
      <c r="BN8" s="109" t="str">
        <f t="shared" si="7"/>
        <v/>
      </c>
      <c r="BO8" s="109" t="str">
        <f t="shared" si="7"/>
        <v/>
      </c>
      <c r="BP8" s="109" t="str">
        <f t="shared" si="7"/>
        <v/>
      </c>
      <c r="BQ8" s="109" t="str">
        <f t="shared" si="7"/>
        <v/>
      </c>
      <c r="BR8" s="109" t="str">
        <f t="shared" si="8"/>
        <v/>
      </c>
      <c r="BS8" s="109" t="str">
        <f t="shared" si="8"/>
        <v/>
      </c>
      <c r="BT8" s="109" t="str">
        <f t="shared" si="8"/>
        <v/>
      </c>
      <c r="BU8" s="109" t="str">
        <f t="shared" si="8"/>
        <v/>
      </c>
      <c r="BV8" s="109" t="str">
        <f t="shared" si="8"/>
        <v/>
      </c>
      <c r="BW8" s="109" t="str">
        <f t="shared" si="8"/>
        <v/>
      </c>
      <c r="BX8" s="109" t="str">
        <f t="shared" si="8"/>
        <v/>
      </c>
      <c r="BY8" s="109" t="str">
        <f t="shared" si="8"/>
        <v/>
      </c>
      <c r="BZ8" s="109" t="str">
        <f t="shared" si="8"/>
        <v/>
      </c>
      <c r="CA8" s="109" t="str">
        <f t="shared" si="8"/>
        <v/>
      </c>
      <c r="CB8" s="109" t="str">
        <f t="shared" si="9"/>
        <v/>
      </c>
      <c r="CC8" s="109" t="str">
        <f t="shared" si="9"/>
        <v/>
      </c>
      <c r="CD8" s="109" t="str">
        <f t="shared" si="9"/>
        <v/>
      </c>
      <c r="CE8" s="109" t="str">
        <f t="shared" si="9"/>
        <v/>
      </c>
      <c r="CF8" s="109" t="str">
        <f t="shared" si="9"/>
        <v/>
      </c>
      <c r="CG8" s="109" t="str">
        <f t="shared" si="9"/>
        <v/>
      </c>
      <c r="CH8" s="109" t="str">
        <f t="shared" si="9"/>
        <v/>
      </c>
      <c r="CI8" s="109" t="str">
        <f t="shared" si="9"/>
        <v/>
      </c>
      <c r="CJ8" s="109" t="str">
        <f t="shared" si="9"/>
        <v/>
      </c>
      <c r="CK8" s="109" t="str">
        <f t="shared" si="9"/>
        <v/>
      </c>
      <c r="CL8" s="109" t="str">
        <f t="shared" si="10"/>
        <v/>
      </c>
      <c r="CM8" s="109" t="str">
        <f t="shared" si="10"/>
        <v/>
      </c>
      <c r="CN8" s="109" t="str">
        <f t="shared" si="10"/>
        <v/>
      </c>
      <c r="CO8" s="109" t="str">
        <f t="shared" si="10"/>
        <v/>
      </c>
      <c r="CP8" s="109" t="str">
        <f t="shared" si="10"/>
        <v/>
      </c>
      <c r="CQ8" s="109" t="str">
        <f t="shared" si="10"/>
        <v/>
      </c>
      <c r="CR8" s="109" t="str">
        <f t="shared" si="10"/>
        <v/>
      </c>
      <c r="CS8" s="109" t="str">
        <f t="shared" si="10"/>
        <v/>
      </c>
      <c r="CT8" s="109" t="str">
        <f t="shared" si="10"/>
        <v/>
      </c>
      <c r="CU8" s="109" t="str">
        <f t="shared" si="10"/>
        <v/>
      </c>
      <c r="CV8" s="109" t="str">
        <f t="shared" si="11"/>
        <v/>
      </c>
      <c r="CW8" s="109" t="str">
        <f t="shared" si="11"/>
        <v/>
      </c>
      <c r="CX8" s="109" t="str">
        <f t="shared" si="11"/>
        <v/>
      </c>
      <c r="CY8" s="109" t="str">
        <f t="shared" si="11"/>
        <v/>
      </c>
      <c r="CZ8" s="109" t="str">
        <f t="shared" si="11"/>
        <v/>
      </c>
      <c r="DA8" s="109" t="str">
        <f t="shared" si="11"/>
        <v/>
      </c>
      <c r="DB8" s="109" t="str">
        <f t="shared" si="11"/>
        <v/>
      </c>
      <c r="DC8" s="109" t="str">
        <f t="shared" si="11"/>
        <v/>
      </c>
    </row>
    <row r="9" spans="1:107" ht="26.25" customHeight="1" x14ac:dyDescent="0.25">
      <c r="A9" s="92" t="s">
        <v>312</v>
      </c>
      <c r="B9" s="76" t="s">
        <v>350</v>
      </c>
      <c r="C9" s="77" t="s">
        <v>472</v>
      </c>
      <c r="D9" s="77" t="s">
        <v>472</v>
      </c>
      <c r="E9" s="94">
        <v>46110</v>
      </c>
      <c r="F9" s="108">
        <v>5</v>
      </c>
      <c r="G9" s="110">
        <f t="shared" si="0"/>
        <v>46114</v>
      </c>
      <c r="H9" s="102">
        <v>0.6</v>
      </c>
      <c r="I9" s="97" t="str">
        <f t="shared" ca="1" si="1"/>
        <v>Late</v>
      </c>
      <c r="J9" s="109">
        <f t="shared" si="2"/>
        <v>1</v>
      </c>
      <c r="K9" s="109">
        <f t="shared" si="2"/>
        <v>1</v>
      </c>
      <c r="L9" s="109">
        <f t="shared" si="2"/>
        <v>1</v>
      </c>
      <c r="M9" s="109">
        <f t="shared" si="2"/>
        <v>1</v>
      </c>
      <c r="N9" s="109" t="str">
        <f t="shared" si="2"/>
        <v/>
      </c>
      <c r="O9" s="109" t="str">
        <f t="shared" si="2"/>
        <v/>
      </c>
      <c r="P9" s="109" t="str">
        <f t="shared" si="2"/>
        <v/>
      </c>
      <c r="Q9" s="109" t="str">
        <f t="shared" si="2"/>
        <v/>
      </c>
      <c r="R9" s="109" t="str">
        <f t="shared" si="2"/>
        <v/>
      </c>
      <c r="S9" s="109" t="str">
        <f t="shared" si="2"/>
        <v/>
      </c>
      <c r="T9" s="109" t="str">
        <f t="shared" si="3"/>
        <v/>
      </c>
      <c r="U9" s="109" t="str">
        <f t="shared" si="3"/>
        <v/>
      </c>
      <c r="V9" s="109" t="str">
        <f t="shared" si="3"/>
        <v/>
      </c>
      <c r="W9" s="109" t="str">
        <f t="shared" si="3"/>
        <v/>
      </c>
      <c r="X9" s="109" t="str">
        <f t="shared" si="3"/>
        <v/>
      </c>
      <c r="Y9" s="109" t="str">
        <f t="shared" si="3"/>
        <v/>
      </c>
      <c r="Z9" s="109" t="str">
        <f t="shared" si="3"/>
        <v/>
      </c>
      <c r="AA9" s="109" t="str">
        <f t="shared" si="3"/>
        <v/>
      </c>
      <c r="AB9" s="109" t="str">
        <f t="shared" si="3"/>
        <v/>
      </c>
      <c r="AC9" s="109" t="str">
        <f t="shared" si="3"/>
        <v/>
      </c>
      <c r="AD9" s="109" t="str">
        <f t="shared" si="4"/>
        <v/>
      </c>
      <c r="AE9" s="109" t="str">
        <f t="shared" si="4"/>
        <v/>
      </c>
      <c r="AF9" s="109" t="str">
        <f t="shared" si="4"/>
        <v/>
      </c>
      <c r="AG9" s="109" t="str">
        <f t="shared" si="4"/>
        <v/>
      </c>
      <c r="AH9" s="109" t="str">
        <f t="shared" si="4"/>
        <v/>
      </c>
      <c r="AI9" s="109" t="str">
        <f t="shared" si="4"/>
        <v/>
      </c>
      <c r="AJ9" s="109" t="str">
        <f t="shared" si="4"/>
        <v/>
      </c>
      <c r="AK9" s="109" t="str">
        <f t="shared" si="4"/>
        <v/>
      </c>
      <c r="AL9" s="109" t="str">
        <f t="shared" si="4"/>
        <v/>
      </c>
      <c r="AM9" s="109" t="str">
        <f t="shared" si="4"/>
        <v/>
      </c>
      <c r="AN9" s="109" t="str">
        <f t="shared" si="5"/>
        <v/>
      </c>
      <c r="AO9" s="109" t="str">
        <f t="shared" si="5"/>
        <v/>
      </c>
      <c r="AP9" s="109" t="str">
        <f t="shared" si="5"/>
        <v/>
      </c>
      <c r="AQ9" s="109" t="str">
        <f t="shared" si="5"/>
        <v/>
      </c>
      <c r="AR9" s="109" t="str">
        <f t="shared" si="5"/>
        <v/>
      </c>
      <c r="AS9" s="109" t="str">
        <f t="shared" si="5"/>
        <v/>
      </c>
      <c r="AT9" s="109" t="str">
        <f t="shared" si="5"/>
        <v/>
      </c>
      <c r="AU9" s="109" t="str">
        <f t="shared" si="5"/>
        <v/>
      </c>
      <c r="AV9" s="109" t="str">
        <f t="shared" si="5"/>
        <v/>
      </c>
      <c r="AW9" s="109" t="str">
        <f t="shared" si="5"/>
        <v/>
      </c>
      <c r="AX9" s="109" t="str">
        <f t="shared" si="6"/>
        <v/>
      </c>
      <c r="AY9" s="109" t="str">
        <f t="shared" si="6"/>
        <v/>
      </c>
      <c r="AZ9" s="109" t="str">
        <f t="shared" si="6"/>
        <v/>
      </c>
      <c r="BA9" s="109" t="str">
        <f t="shared" si="6"/>
        <v/>
      </c>
      <c r="BB9" s="109" t="str">
        <f t="shared" si="6"/>
        <v/>
      </c>
      <c r="BC9" s="109" t="str">
        <f t="shared" si="6"/>
        <v/>
      </c>
      <c r="BD9" s="109" t="str">
        <f t="shared" si="6"/>
        <v/>
      </c>
      <c r="BE9" s="109" t="str">
        <f t="shared" si="6"/>
        <v/>
      </c>
      <c r="BF9" s="109" t="str">
        <f t="shared" si="6"/>
        <v/>
      </c>
      <c r="BG9" s="109" t="str">
        <f t="shared" si="6"/>
        <v/>
      </c>
      <c r="BH9" s="109" t="str">
        <f t="shared" si="7"/>
        <v/>
      </c>
      <c r="BI9" s="109" t="str">
        <f t="shared" si="7"/>
        <v/>
      </c>
      <c r="BJ9" s="109" t="str">
        <f t="shared" si="7"/>
        <v/>
      </c>
      <c r="BK9" s="109" t="str">
        <f t="shared" si="7"/>
        <v/>
      </c>
      <c r="BL9" s="109" t="str">
        <f t="shared" si="7"/>
        <v/>
      </c>
      <c r="BM9" s="109" t="str">
        <f t="shared" si="7"/>
        <v/>
      </c>
      <c r="BN9" s="109" t="str">
        <f t="shared" si="7"/>
        <v/>
      </c>
      <c r="BO9" s="109" t="str">
        <f t="shared" si="7"/>
        <v/>
      </c>
      <c r="BP9" s="109" t="str">
        <f t="shared" si="7"/>
        <v/>
      </c>
      <c r="BQ9" s="109" t="str">
        <f t="shared" si="7"/>
        <v/>
      </c>
      <c r="BR9" s="109" t="str">
        <f t="shared" si="8"/>
        <v/>
      </c>
      <c r="BS9" s="109" t="str">
        <f t="shared" si="8"/>
        <v/>
      </c>
      <c r="BT9" s="109" t="str">
        <f t="shared" si="8"/>
        <v/>
      </c>
      <c r="BU9" s="109" t="str">
        <f t="shared" si="8"/>
        <v/>
      </c>
      <c r="BV9" s="109" t="str">
        <f t="shared" si="8"/>
        <v/>
      </c>
      <c r="BW9" s="109" t="str">
        <f t="shared" si="8"/>
        <v/>
      </c>
      <c r="BX9" s="109" t="str">
        <f t="shared" si="8"/>
        <v/>
      </c>
      <c r="BY9" s="109" t="str">
        <f t="shared" si="8"/>
        <v/>
      </c>
      <c r="BZ9" s="109" t="str">
        <f t="shared" si="8"/>
        <v/>
      </c>
      <c r="CA9" s="109" t="str">
        <f t="shared" si="8"/>
        <v/>
      </c>
      <c r="CB9" s="109" t="str">
        <f t="shared" si="9"/>
        <v/>
      </c>
      <c r="CC9" s="109" t="str">
        <f t="shared" si="9"/>
        <v/>
      </c>
      <c r="CD9" s="109" t="str">
        <f t="shared" si="9"/>
        <v/>
      </c>
      <c r="CE9" s="109" t="str">
        <f t="shared" si="9"/>
        <v/>
      </c>
      <c r="CF9" s="109" t="str">
        <f t="shared" si="9"/>
        <v/>
      </c>
      <c r="CG9" s="109" t="str">
        <f t="shared" si="9"/>
        <v/>
      </c>
      <c r="CH9" s="109" t="str">
        <f t="shared" si="9"/>
        <v/>
      </c>
      <c r="CI9" s="109" t="str">
        <f t="shared" si="9"/>
        <v/>
      </c>
      <c r="CJ9" s="109" t="str">
        <f t="shared" si="9"/>
        <v/>
      </c>
      <c r="CK9" s="109" t="str">
        <f t="shared" si="9"/>
        <v/>
      </c>
      <c r="CL9" s="109" t="str">
        <f t="shared" si="10"/>
        <v/>
      </c>
      <c r="CM9" s="109" t="str">
        <f t="shared" si="10"/>
        <v/>
      </c>
      <c r="CN9" s="109" t="str">
        <f t="shared" si="10"/>
        <v/>
      </c>
      <c r="CO9" s="109" t="str">
        <f t="shared" si="10"/>
        <v/>
      </c>
      <c r="CP9" s="109" t="str">
        <f t="shared" si="10"/>
        <v/>
      </c>
      <c r="CQ9" s="109" t="str">
        <f t="shared" si="10"/>
        <v/>
      </c>
      <c r="CR9" s="109" t="str">
        <f t="shared" si="10"/>
        <v/>
      </c>
      <c r="CS9" s="109" t="str">
        <f t="shared" si="10"/>
        <v/>
      </c>
      <c r="CT9" s="109" t="str">
        <f t="shared" si="10"/>
        <v/>
      </c>
      <c r="CU9" s="109" t="str">
        <f t="shared" si="10"/>
        <v/>
      </c>
      <c r="CV9" s="109" t="str">
        <f t="shared" si="11"/>
        <v/>
      </c>
      <c r="CW9" s="109" t="str">
        <f t="shared" si="11"/>
        <v/>
      </c>
      <c r="CX9" s="109" t="str">
        <f t="shared" si="11"/>
        <v/>
      </c>
      <c r="CY9" s="109" t="str">
        <f t="shared" si="11"/>
        <v/>
      </c>
      <c r="CZ9" s="109" t="str">
        <f t="shared" si="11"/>
        <v/>
      </c>
      <c r="DA9" s="109" t="str">
        <f t="shared" si="11"/>
        <v/>
      </c>
      <c r="DB9" s="109" t="str">
        <f t="shared" si="11"/>
        <v/>
      </c>
      <c r="DC9" s="109" t="str">
        <f t="shared" si="11"/>
        <v/>
      </c>
    </row>
    <row r="10" spans="1:107" ht="26.25" customHeight="1" x14ac:dyDescent="0.25">
      <c r="A10" s="92" t="s">
        <v>312</v>
      </c>
      <c r="B10" s="76" t="s">
        <v>350</v>
      </c>
      <c r="C10" s="77" t="s">
        <v>473</v>
      </c>
      <c r="D10" s="77" t="s">
        <v>473</v>
      </c>
      <c r="E10" s="94">
        <v>46115</v>
      </c>
      <c r="F10" s="108">
        <v>2</v>
      </c>
      <c r="G10" s="110">
        <f t="shared" si="0"/>
        <v>46116</v>
      </c>
      <c r="H10" s="102">
        <v>0</v>
      </c>
      <c r="I10" s="97" t="str">
        <f t="shared" ca="1" si="1"/>
        <v>Late</v>
      </c>
      <c r="J10" s="109" t="str">
        <f t="shared" si="2"/>
        <v/>
      </c>
      <c r="K10" s="109" t="str">
        <f t="shared" si="2"/>
        <v/>
      </c>
      <c r="L10" s="109" t="str">
        <f t="shared" si="2"/>
        <v/>
      </c>
      <c r="M10" s="109" t="str">
        <f t="shared" si="2"/>
        <v/>
      </c>
      <c r="N10" s="109">
        <f t="shared" si="2"/>
        <v>1</v>
      </c>
      <c r="O10" s="109">
        <f t="shared" si="2"/>
        <v>1</v>
      </c>
      <c r="P10" s="109" t="str">
        <f t="shared" si="2"/>
        <v/>
      </c>
      <c r="Q10" s="109" t="str">
        <f t="shared" si="2"/>
        <v/>
      </c>
      <c r="R10" s="109" t="str">
        <f t="shared" si="2"/>
        <v/>
      </c>
      <c r="S10" s="109" t="str">
        <f t="shared" si="2"/>
        <v/>
      </c>
      <c r="T10" s="109" t="str">
        <f t="shared" si="3"/>
        <v/>
      </c>
      <c r="U10" s="109" t="str">
        <f t="shared" si="3"/>
        <v/>
      </c>
      <c r="V10" s="109" t="str">
        <f t="shared" si="3"/>
        <v/>
      </c>
      <c r="W10" s="109" t="str">
        <f t="shared" si="3"/>
        <v/>
      </c>
      <c r="X10" s="109" t="str">
        <f t="shared" si="3"/>
        <v/>
      </c>
      <c r="Y10" s="109" t="str">
        <f t="shared" si="3"/>
        <v/>
      </c>
      <c r="Z10" s="109" t="str">
        <f t="shared" si="3"/>
        <v/>
      </c>
      <c r="AA10" s="109" t="str">
        <f t="shared" si="3"/>
        <v/>
      </c>
      <c r="AB10" s="109" t="str">
        <f t="shared" si="3"/>
        <v/>
      </c>
      <c r="AC10" s="109" t="str">
        <f t="shared" si="3"/>
        <v/>
      </c>
      <c r="AD10" s="109" t="str">
        <f t="shared" si="4"/>
        <v/>
      </c>
      <c r="AE10" s="109" t="str">
        <f t="shared" si="4"/>
        <v/>
      </c>
      <c r="AF10" s="109" t="str">
        <f t="shared" si="4"/>
        <v/>
      </c>
      <c r="AG10" s="109" t="str">
        <f t="shared" si="4"/>
        <v/>
      </c>
      <c r="AH10" s="109" t="str">
        <f t="shared" si="4"/>
        <v/>
      </c>
      <c r="AI10" s="109" t="str">
        <f t="shared" si="4"/>
        <v/>
      </c>
      <c r="AJ10" s="109" t="str">
        <f t="shared" si="4"/>
        <v/>
      </c>
      <c r="AK10" s="109" t="str">
        <f t="shared" si="4"/>
        <v/>
      </c>
      <c r="AL10" s="109" t="str">
        <f t="shared" si="4"/>
        <v/>
      </c>
      <c r="AM10" s="109" t="str">
        <f t="shared" si="4"/>
        <v/>
      </c>
      <c r="AN10" s="109" t="str">
        <f t="shared" si="5"/>
        <v/>
      </c>
      <c r="AO10" s="109" t="str">
        <f t="shared" si="5"/>
        <v/>
      </c>
      <c r="AP10" s="109" t="str">
        <f t="shared" si="5"/>
        <v/>
      </c>
      <c r="AQ10" s="109" t="str">
        <f t="shared" si="5"/>
        <v/>
      </c>
      <c r="AR10" s="109" t="str">
        <f t="shared" si="5"/>
        <v/>
      </c>
      <c r="AS10" s="109" t="str">
        <f t="shared" si="5"/>
        <v/>
      </c>
      <c r="AT10" s="109" t="str">
        <f t="shared" si="5"/>
        <v/>
      </c>
      <c r="AU10" s="109" t="str">
        <f t="shared" si="5"/>
        <v/>
      </c>
      <c r="AV10" s="109" t="str">
        <f t="shared" si="5"/>
        <v/>
      </c>
      <c r="AW10" s="109" t="str">
        <f t="shared" si="5"/>
        <v/>
      </c>
      <c r="AX10" s="109" t="str">
        <f t="shared" si="6"/>
        <v/>
      </c>
      <c r="AY10" s="109" t="str">
        <f t="shared" si="6"/>
        <v/>
      </c>
      <c r="AZ10" s="109" t="str">
        <f t="shared" si="6"/>
        <v/>
      </c>
      <c r="BA10" s="109" t="str">
        <f t="shared" si="6"/>
        <v/>
      </c>
      <c r="BB10" s="109" t="str">
        <f t="shared" si="6"/>
        <v/>
      </c>
      <c r="BC10" s="109" t="str">
        <f t="shared" si="6"/>
        <v/>
      </c>
      <c r="BD10" s="109" t="str">
        <f t="shared" si="6"/>
        <v/>
      </c>
      <c r="BE10" s="109" t="str">
        <f t="shared" si="6"/>
        <v/>
      </c>
      <c r="BF10" s="109" t="str">
        <f t="shared" si="6"/>
        <v/>
      </c>
      <c r="BG10" s="109" t="str">
        <f t="shared" si="6"/>
        <v/>
      </c>
      <c r="BH10" s="109" t="str">
        <f t="shared" si="7"/>
        <v/>
      </c>
      <c r="BI10" s="109" t="str">
        <f t="shared" si="7"/>
        <v/>
      </c>
      <c r="BJ10" s="109" t="str">
        <f t="shared" si="7"/>
        <v/>
      </c>
      <c r="BK10" s="109" t="str">
        <f t="shared" si="7"/>
        <v/>
      </c>
      <c r="BL10" s="109" t="str">
        <f t="shared" si="7"/>
        <v/>
      </c>
      <c r="BM10" s="109" t="str">
        <f t="shared" si="7"/>
        <v/>
      </c>
      <c r="BN10" s="109" t="str">
        <f t="shared" si="7"/>
        <v/>
      </c>
      <c r="BO10" s="109" t="str">
        <f t="shared" si="7"/>
        <v/>
      </c>
      <c r="BP10" s="109" t="str">
        <f t="shared" si="7"/>
        <v/>
      </c>
      <c r="BQ10" s="109" t="str">
        <f t="shared" si="7"/>
        <v/>
      </c>
      <c r="BR10" s="109" t="str">
        <f t="shared" si="8"/>
        <v/>
      </c>
      <c r="BS10" s="109" t="str">
        <f t="shared" si="8"/>
        <v/>
      </c>
      <c r="BT10" s="109" t="str">
        <f t="shared" si="8"/>
        <v/>
      </c>
      <c r="BU10" s="109" t="str">
        <f t="shared" si="8"/>
        <v/>
      </c>
      <c r="BV10" s="109" t="str">
        <f t="shared" si="8"/>
        <v/>
      </c>
      <c r="BW10" s="109" t="str">
        <f t="shared" si="8"/>
        <v/>
      </c>
      <c r="BX10" s="109" t="str">
        <f t="shared" si="8"/>
        <v/>
      </c>
      <c r="BY10" s="109" t="str">
        <f t="shared" si="8"/>
        <v/>
      </c>
      <c r="BZ10" s="109" t="str">
        <f t="shared" si="8"/>
        <v/>
      </c>
      <c r="CA10" s="109" t="str">
        <f t="shared" si="8"/>
        <v/>
      </c>
      <c r="CB10" s="109" t="str">
        <f t="shared" si="9"/>
        <v/>
      </c>
      <c r="CC10" s="109" t="str">
        <f t="shared" si="9"/>
        <v/>
      </c>
      <c r="CD10" s="109" t="str">
        <f t="shared" si="9"/>
        <v/>
      </c>
      <c r="CE10" s="109" t="str">
        <f t="shared" si="9"/>
        <v/>
      </c>
      <c r="CF10" s="109" t="str">
        <f t="shared" si="9"/>
        <v/>
      </c>
      <c r="CG10" s="109" t="str">
        <f t="shared" si="9"/>
        <v/>
      </c>
      <c r="CH10" s="109" t="str">
        <f t="shared" si="9"/>
        <v/>
      </c>
      <c r="CI10" s="109" t="str">
        <f t="shared" si="9"/>
        <v/>
      </c>
      <c r="CJ10" s="109" t="str">
        <f t="shared" si="9"/>
        <v/>
      </c>
      <c r="CK10" s="109" t="str">
        <f t="shared" si="9"/>
        <v/>
      </c>
      <c r="CL10" s="109" t="str">
        <f t="shared" si="10"/>
        <v/>
      </c>
      <c r="CM10" s="109" t="str">
        <f t="shared" si="10"/>
        <v/>
      </c>
      <c r="CN10" s="109" t="str">
        <f t="shared" si="10"/>
        <v/>
      </c>
      <c r="CO10" s="109" t="str">
        <f t="shared" si="10"/>
        <v/>
      </c>
      <c r="CP10" s="109" t="str">
        <f t="shared" si="10"/>
        <v/>
      </c>
      <c r="CQ10" s="109" t="str">
        <f t="shared" si="10"/>
        <v/>
      </c>
      <c r="CR10" s="109" t="str">
        <f t="shared" si="10"/>
        <v/>
      </c>
      <c r="CS10" s="109" t="str">
        <f t="shared" si="10"/>
        <v/>
      </c>
      <c r="CT10" s="109" t="str">
        <f t="shared" si="10"/>
        <v/>
      </c>
      <c r="CU10" s="109" t="str">
        <f t="shared" si="10"/>
        <v/>
      </c>
      <c r="CV10" s="109" t="str">
        <f t="shared" si="11"/>
        <v/>
      </c>
      <c r="CW10" s="109" t="str">
        <f t="shared" si="11"/>
        <v/>
      </c>
      <c r="CX10" s="109" t="str">
        <f t="shared" si="11"/>
        <v/>
      </c>
      <c r="CY10" s="109" t="str">
        <f t="shared" si="11"/>
        <v/>
      </c>
      <c r="CZ10" s="109" t="str">
        <f t="shared" si="11"/>
        <v/>
      </c>
      <c r="DA10" s="109" t="str">
        <f t="shared" si="11"/>
        <v/>
      </c>
      <c r="DB10" s="109" t="str">
        <f t="shared" si="11"/>
        <v/>
      </c>
      <c r="DC10" s="109" t="str">
        <f t="shared" si="11"/>
        <v/>
      </c>
    </row>
    <row r="11" spans="1:107" ht="26.25" customHeight="1" x14ac:dyDescent="0.25">
      <c r="A11" s="92" t="s">
        <v>312</v>
      </c>
      <c r="B11" s="76" t="s">
        <v>350</v>
      </c>
      <c r="C11" s="77" t="s">
        <v>474</v>
      </c>
      <c r="D11" s="77" t="s">
        <v>475</v>
      </c>
      <c r="E11" s="94">
        <v>46117</v>
      </c>
      <c r="F11" s="108">
        <v>5</v>
      </c>
      <c r="G11" s="110">
        <f t="shared" si="0"/>
        <v>46121</v>
      </c>
      <c r="H11" s="102">
        <v>0</v>
      </c>
      <c r="I11" s="97" t="str">
        <f t="shared" ca="1" si="1"/>
        <v>Late</v>
      </c>
      <c r="J11" s="109" t="str">
        <f t="shared" si="2"/>
        <v/>
      </c>
      <c r="K11" s="109" t="str">
        <f t="shared" si="2"/>
        <v/>
      </c>
      <c r="L11" s="109" t="str">
        <f t="shared" si="2"/>
        <v/>
      </c>
      <c r="M11" s="109" t="str">
        <f t="shared" si="2"/>
        <v/>
      </c>
      <c r="N11" s="109" t="str">
        <f t="shared" si="2"/>
        <v/>
      </c>
      <c r="O11" s="109" t="str">
        <f t="shared" si="2"/>
        <v/>
      </c>
      <c r="P11" s="109">
        <f t="shared" si="2"/>
        <v>1</v>
      </c>
      <c r="Q11" s="109">
        <f t="shared" si="2"/>
        <v>1</v>
      </c>
      <c r="R11" s="109">
        <f t="shared" si="2"/>
        <v>1</v>
      </c>
      <c r="S11" s="109">
        <f t="shared" si="2"/>
        <v>1</v>
      </c>
      <c r="T11" s="109">
        <f t="shared" si="3"/>
        <v>1</v>
      </c>
      <c r="U11" s="109" t="str">
        <f t="shared" si="3"/>
        <v/>
      </c>
      <c r="V11" s="109" t="str">
        <f t="shared" si="3"/>
        <v/>
      </c>
      <c r="W11" s="109" t="str">
        <f t="shared" si="3"/>
        <v/>
      </c>
      <c r="X11" s="109" t="str">
        <f t="shared" si="3"/>
        <v/>
      </c>
      <c r="Y11" s="109" t="str">
        <f t="shared" si="3"/>
        <v/>
      </c>
      <c r="Z11" s="109" t="str">
        <f t="shared" si="3"/>
        <v/>
      </c>
      <c r="AA11" s="109" t="str">
        <f t="shared" si="3"/>
        <v/>
      </c>
      <c r="AB11" s="109" t="str">
        <f t="shared" si="3"/>
        <v/>
      </c>
      <c r="AC11" s="109" t="str">
        <f t="shared" si="3"/>
        <v/>
      </c>
      <c r="AD11" s="109" t="str">
        <f t="shared" si="4"/>
        <v/>
      </c>
      <c r="AE11" s="109" t="str">
        <f t="shared" si="4"/>
        <v/>
      </c>
      <c r="AF11" s="109" t="str">
        <f t="shared" si="4"/>
        <v/>
      </c>
      <c r="AG11" s="109" t="str">
        <f t="shared" si="4"/>
        <v/>
      </c>
      <c r="AH11" s="109" t="str">
        <f t="shared" si="4"/>
        <v/>
      </c>
      <c r="AI11" s="109" t="str">
        <f t="shared" si="4"/>
        <v/>
      </c>
      <c r="AJ11" s="109" t="str">
        <f t="shared" si="4"/>
        <v/>
      </c>
      <c r="AK11" s="109" t="str">
        <f t="shared" si="4"/>
        <v/>
      </c>
      <c r="AL11" s="109" t="str">
        <f t="shared" si="4"/>
        <v/>
      </c>
      <c r="AM11" s="109" t="str">
        <f t="shared" si="4"/>
        <v/>
      </c>
      <c r="AN11" s="109" t="str">
        <f t="shared" si="5"/>
        <v/>
      </c>
      <c r="AO11" s="109" t="str">
        <f t="shared" si="5"/>
        <v/>
      </c>
      <c r="AP11" s="109" t="str">
        <f t="shared" si="5"/>
        <v/>
      </c>
      <c r="AQ11" s="109" t="str">
        <f t="shared" si="5"/>
        <v/>
      </c>
      <c r="AR11" s="109" t="str">
        <f t="shared" si="5"/>
        <v/>
      </c>
      <c r="AS11" s="109" t="str">
        <f t="shared" si="5"/>
        <v/>
      </c>
      <c r="AT11" s="109" t="str">
        <f t="shared" si="5"/>
        <v/>
      </c>
      <c r="AU11" s="109" t="str">
        <f t="shared" si="5"/>
        <v/>
      </c>
      <c r="AV11" s="109" t="str">
        <f t="shared" si="5"/>
        <v/>
      </c>
      <c r="AW11" s="109" t="str">
        <f t="shared" si="5"/>
        <v/>
      </c>
      <c r="AX11" s="109" t="str">
        <f t="shared" si="6"/>
        <v/>
      </c>
      <c r="AY11" s="109" t="str">
        <f t="shared" si="6"/>
        <v/>
      </c>
      <c r="AZ11" s="109" t="str">
        <f t="shared" si="6"/>
        <v/>
      </c>
      <c r="BA11" s="109" t="str">
        <f t="shared" si="6"/>
        <v/>
      </c>
      <c r="BB11" s="109" t="str">
        <f t="shared" si="6"/>
        <v/>
      </c>
      <c r="BC11" s="109" t="str">
        <f t="shared" si="6"/>
        <v/>
      </c>
      <c r="BD11" s="109" t="str">
        <f t="shared" si="6"/>
        <v/>
      </c>
      <c r="BE11" s="109" t="str">
        <f t="shared" si="6"/>
        <v/>
      </c>
      <c r="BF11" s="109" t="str">
        <f t="shared" si="6"/>
        <v/>
      </c>
      <c r="BG11" s="109" t="str">
        <f t="shared" si="6"/>
        <v/>
      </c>
      <c r="BH11" s="109" t="str">
        <f t="shared" si="7"/>
        <v/>
      </c>
      <c r="BI11" s="109" t="str">
        <f t="shared" si="7"/>
        <v/>
      </c>
      <c r="BJ11" s="109" t="str">
        <f t="shared" si="7"/>
        <v/>
      </c>
      <c r="BK11" s="109" t="str">
        <f t="shared" si="7"/>
        <v/>
      </c>
      <c r="BL11" s="109" t="str">
        <f t="shared" si="7"/>
        <v/>
      </c>
      <c r="BM11" s="109" t="str">
        <f t="shared" si="7"/>
        <v/>
      </c>
      <c r="BN11" s="109" t="str">
        <f t="shared" si="7"/>
        <v/>
      </c>
      <c r="BO11" s="109" t="str">
        <f t="shared" si="7"/>
        <v/>
      </c>
      <c r="BP11" s="109" t="str">
        <f t="shared" si="7"/>
        <v/>
      </c>
      <c r="BQ11" s="109" t="str">
        <f t="shared" si="7"/>
        <v/>
      </c>
      <c r="BR11" s="109" t="str">
        <f t="shared" si="8"/>
        <v/>
      </c>
      <c r="BS11" s="109" t="str">
        <f t="shared" si="8"/>
        <v/>
      </c>
      <c r="BT11" s="109" t="str">
        <f t="shared" si="8"/>
        <v/>
      </c>
      <c r="BU11" s="109" t="str">
        <f t="shared" si="8"/>
        <v/>
      </c>
      <c r="BV11" s="109" t="str">
        <f t="shared" si="8"/>
        <v/>
      </c>
      <c r="BW11" s="109" t="str">
        <f t="shared" si="8"/>
        <v/>
      </c>
      <c r="BX11" s="109" t="str">
        <f t="shared" si="8"/>
        <v/>
      </c>
      <c r="BY11" s="109" t="str">
        <f t="shared" si="8"/>
        <v/>
      </c>
      <c r="BZ11" s="109" t="str">
        <f t="shared" si="8"/>
        <v/>
      </c>
      <c r="CA11" s="109" t="str">
        <f t="shared" si="8"/>
        <v/>
      </c>
      <c r="CB11" s="109" t="str">
        <f t="shared" si="9"/>
        <v/>
      </c>
      <c r="CC11" s="109" t="str">
        <f t="shared" si="9"/>
        <v/>
      </c>
      <c r="CD11" s="109" t="str">
        <f t="shared" si="9"/>
        <v/>
      </c>
      <c r="CE11" s="109" t="str">
        <f t="shared" si="9"/>
        <v/>
      </c>
      <c r="CF11" s="109" t="str">
        <f t="shared" si="9"/>
        <v/>
      </c>
      <c r="CG11" s="109" t="str">
        <f t="shared" si="9"/>
        <v/>
      </c>
      <c r="CH11" s="109" t="str">
        <f t="shared" si="9"/>
        <v/>
      </c>
      <c r="CI11" s="109" t="str">
        <f t="shared" si="9"/>
        <v/>
      </c>
      <c r="CJ11" s="109" t="str">
        <f t="shared" si="9"/>
        <v/>
      </c>
      <c r="CK11" s="109" t="str">
        <f t="shared" si="9"/>
        <v/>
      </c>
      <c r="CL11" s="109" t="str">
        <f t="shared" si="10"/>
        <v/>
      </c>
      <c r="CM11" s="109" t="str">
        <f t="shared" si="10"/>
        <v/>
      </c>
      <c r="CN11" s="109" t="str">
        <f t="shared" si="10"/>
        <v/>
      </c>
      <c r="CO11" s="109" t="str">
        <f t="shared" si="10"/>
        <v/>
      </c>
      <c r="CP11" s="109" t="str">
        <f t="shared" si="10"/>
        <v/>
      </c>
      <c r="CQ11" s="109" t="str">
        <f t="shared" si="10"/>
        <v/>
      </c>
      <c r="CR11" s="109" t="str">
        <f t="shared" si="10"/>
        <v/>
      </c>
      <c r="CS11" s="109" t="str">
        <f t="shared" si="10"/>
        <v/>
      </c>
      <c r="CT11" s="109" t="str">
        <f t="shared" si="10"/>
        <v/>
      </c>
      <c r="CU11" s="109" t="str">
        <f t="shared" si="10"/>
        <v/>
      </c>
      <c r="CV11" s="109" t="str">
        <f t="shared" si="11"/>
        <v/>
      </c>
      <c r="CW11" s="109" t="str">
        <f t="shared" si="11"/>
        <v/>
      </c>
      <c r="CX11" s="109" t="str">
        <f t="shared" si="11"/>
        <v/>
      </c>
      <c r="CY11" s="109" t="str">
        <f t="shared" si="11"/>
        <v/>
      </c>
      <c r="CZ11" s="109" t="str">
        <f t="shared" si="11"/>
        <v/>
      </c>
      <c r="DA11" s="109" t="str">
        <f t="shared" si="11"/>
        <v/>
      </c>
      <c r="DB11" s="109" t="str">
        <f t="shared" si="11"/>
        <v/>
      </c>
      <c r="DC11" s="109" t="str">
        <f t="shared" si="11"/>
        <v/>
      </c>
    </row>
    <row r="12" spans="1:107" ht="26.25" customHeight="1" x14ac:dyDescent="0.25">
      <c r="A12" s="92" t="s">
        <v>312</v>
      </c>
      <c r="B12" s="76" t="s">
        <v>350</v>
      </c>
      <c r="C12" s="77" t="s">
        <v>476</v>
      </c>
      <c r="D12" s="77" t="s">
        <v>476</v>
      </c>
      <c r="E12" s="94">
        <v>46123</v>
      </c>
      <c r="F12" s="108">
        <v>2</v>
      </c>
      <c r="G12" s="110">
        <f t="shared" si="0"/>
        <v>46124</v>
      </c>
      <c r="H12" s="102">
        <v>0</v>
      </c>
      <c r="I12" s="97" t="str">
        <f t="shared" ca="1" si="1"/>
        <v>Late</v>
      </c>
      <c r="J12" s="109" t="str">
        <f t="shared" si="2"/>
        <v/>
      </c>
      <c r="K12" s="109" t="str">
        <f t="shared" si="2"/>
        <v/>
      </c>
      <c r="L12" s="109" t="str">
        <f t="shared" si="2"/>
        <v/>
      </c>
      <c r="M12" s="109" t="str">
        <f t="shared" si="2"/>
        <v/>
      </c>
      <c r="N12" s="109" t="str">
        <f t="shared" si="2"/>
        <v/>
      </c>
      <c r="O12" s="109" t="str">
        <f t="shared" si="2"/>
        <v/>
      </c>
      <c r="P12" s="109" t="str">
        <f t="shared" si="2"/>
        <v/>
      </c>
      <c r="Q12" s="109" t="str">
        <f t="shared" si="2"/>
        <v/>
      </c>
      <c r="R12" s="109" t="str">
        <f t="shared" si="2"/>
        <v/>
      </c>
      <c r="S12" s="109" t="str">
        <f t="shared" si="2"/>
        <v/>
      </c>
      <c r="T12" s="109" t="str">
        <f t="shared" si="3"/>
        <v/>
      </c>
      <c r="U12" s="109" t="str">
        <f t="shared" si="3"/>
        <v/>
      </c>
      <c r="V12" s="109">
        <f t="shared" si="3"/>
        <v>1</v>
      </c>
      <c r="W12" s="109">
        <f t="shared" si="3"/>
        <v>1</v>
      </c>
      <c r="X12" s="109" t="str">
        <f t="shared" si="3"/>
        <v/>
      </c>
      <c r="Y12" s="109" t="str">
        <f t="shared" si="3"/>
        <v/>
      </c>
      <c r="Z12" s="109" t="str">
        <f t="shared" si="3"/>
        <v/>
      </c>
      <c r="AA12" s="109" t="str">
        <f t="shared" si="3"/>
        <v/>
      </c>
      <c r="AB12" s="109" t="str">
        <f t="shared" si="3"/>
        <v/>
      </c>
      <c r="AC12" s="109" t="str">
        <f t="shared" si="3"/>
        <v/>
      </c>
      <c r="AD12" s="109" t="str">
        <f t="shared" si="4"/>
        <v/>
      </c>
      <c r="AE12" s="109" t="str">
        <f t="shared" si="4"/>
        <v/>
      </c>
      <c r="AF12" s="109" t="str">
        <f t="shared" si="4"/>
        <v/>
      </c>
      <c r="AG12" s="109" t="str">
        <f t="shared" si="4"/>
        <v/>
      </c>
      <c r="AH12" s="109" t="str">
        <f t="shared" si="4"/>
        <v/>
      </c>
      <c r="AI12" s="109" t="str">
        <f t="shared" si="4"/>
        <v/>
      </c>
      <c r="AJ12" s="109" t="str">
        <f t="shared" si="4"/>
        <v/>
      </c>
      <c r="AK12" s="109" t="str">
        <f t="shared" si="4"/>
        <v/>
      </c>
      <c r="AL12" s="109" t="str">
        <f t="shared" si="4"/>
        <v/>
      </c>
      <c r="AM12" s="109" t="str">
        <f t="shared" si="4"/>
        <v/>
      </c>
      <c r="AN12" s="109" t="str">
        <f t="shared" si="5"/>
        <v/>
      </c>
      <c r="AO12" s="109" t="str">
        <f t="shared" si="5"/>
        <v/>
      </c>
      <c r="AP12" s="109" t="str">
        <f t="shared" si="5"/>
        <v/>
      </c>
      <c r="AQ12" s="109" t="str">
        <f t="shared" si="5"/>
        <v/>
      </c>
      <c r="AR12" s="109" t="str">
        <f t="shared" si="5"/>
        <v/>
      </c>
      <c r="AS12" s="109" t="str">
        <f t="shared" si="5"/>
        <v/>
      </c>
      <c r="AT12" s="109" t="str">
        <f t="shared" si="5"/>
        <v/>
      </c>
      <c r="AU12" s="109" t="str">
        <f t="shared" si="5"/>
        <v/>
      </c>
      <c r="AV12" s="109" t="str">
        <f t="shared" si="5"/>
        <v/>
      </c>
      <c r="AW12" s="109" t="str">
        <f t="shared" si="5"/>
        <v/>
      </c>
      <c r="AX12" s="109" t="str">
        <f t="shared" si="6"/>
        <v/>
      </c>
      <c r="AY12" s="109" t="str">
        <f t="shared" si="6"/>
        <v/>
      </c>
      <c r="AZ12" s="109" t="str">
        <f t="shared" si="6"/>
        <v/>
      </c>
      <c r="BA12" s="109" t="str">
        <f t="shared" si="6"/>
        <v/>
      </c>
      <c r="BB12" s="109" t="str">
        <f t="shared" si="6"/>
        <v/>
      </c>
      <c r="BC12" s="109" t="str">
        <f t="shared" si="6"/>
        <v/>
      </c>
      <c r="BD12" s="109" t="str">
        <f t="shared" si="6"/>
        <v/>
      </c>
      <c r="BE12" s="109" t="str">
        <f t="shared" si="6"/>
        <v/>
      </c>
      <c r="BF12" s="109" t="str">
        <f t="shared" si="6"/>
        <v/>
      </c>
      <c r="BG12" s="109" t="str">
        <f t="shared" si="6"/>
        <v/>
      </c>
      <c r="BH12" s="109" t="str">
        <f t="shared" si="7"/>
        <v/>
      </c>
      <c r="BI12" s="109" t="str">
        <f t="shared" si="7"/>
        <v/>
      </c>
      <c r="BJ12" s="109" t="str">
        <f t="shared" si="7"/>
        <v/>
      </c>
      <c r="BK12" s="109" t="str">
        <f t="shared" si="7"/>
        <v/>
      </c>
      <c r="BL12" s="109" t="str">
        <f t="shared" si="7"/>
        <v/>
      </c>
      <c r="BM12" s="109" t="str">
        <f t="shared" si="7"/>
        <v/>
      </c>
      <c r="BN12" s="109" t="str">
        <f t="shared" si="7"/>
        <v/>
      </c>
      <c r="BO12" s="109" t="str">
        <f t="shared" si="7"/>
        <v/>
      </c>
      <c r="BP12" s="109" t="str">
        <f t="shared" si="7"/>
        <v/>
      </c>
      <c r="BQ12" s="109" t="str">
        <f t="shared" si="7"/>
        <v/>
      </c>
      <c r="BR12" s="109" t="str">
        <f t="shared" si="8"/>
        <v/>
      </c>
      <c r="BS12" s="109" t="str">
        <f t="shared" si="8"/>
        <v/>
      </c>
      <c r="BT12" s="109" t="str">
        <f t="shared" si="8"/>
        <v/>
      </c>
      <c r="BU12" s="109" t="str">
        <f t="shared" si="8"/>
        <v/>
      </c>
      <c r="BV12" s="109" t="str">
        <f t="shared" si="8"/>
        <v/>
      </c>
      <c r="BW12" s="109" t="str">
        <f t="shared" si="8"/>
        <v/>
      </c>
      <c r="BX12" s="109" t="str">
        <f t="shared" si="8"/>
        <v/>
      </c>
      <c r="BY12" s="109" t="str">
        <f t="shared" si="8"/>
        <v/>
      </c>
      <c r="BZ12" s="109" t="str">
        <f t="shared" si="8"/>
        <v/>
      </c>
      <c r="CA12" s="109" t="str">
        <f t="shared" si="8"/>
        <v/>
      </c>
      <c r="CB12" s="109" t="str">
        <f t="shared" si="9"/>
        <v/>
      </c>
      <c r="CC12" s="109" t="str">
        <f t="shared" si="9"/>
        <v/>
      </c>
      <c r="CD12" s="109" t="str">
        <f t="shared" si="9"/>
        <v/>
      </c>
      <c r="CE12" s="109" t="str">
        <f t="shared" si="9"/>
        <v/>
      </c>
      <c r="CF12" s="109" t="str">
        <f t="shared" si="9"/>
        <v/>
      </c>
      <c r="CG12" s="109" t="str">
        <f t="shared" si="9"/>
        <v/>
      </c>
      <c r="CH12" s="109" t="str">
        <f t="shared" si="9"/>
        <v/>
      </c>
      <c r="CI12" s="109" t="str">
        <f t="shared" si="9"/>
        <v/>
      </c>
      <c r="CJ12" s="109" t="str">
        <f t="shared" si="9"/>
        <v/>
      </c>
      <c r="CK12" s="109" t="str">
        <f t="shared" si="9"/>
        <v/>
      </c>
      <c r="CL12" s="109" t="str">
        <f t="shared" si="10"/>
        <v/>
      </c>
      <c r="CM12" s="109" t="str">
        <f t="shared" si="10"/>
        <v/>
      </c>
      <c r="CN12" s="109" t="str">
        <f t="shared" si="10"/>
        <v/>
      </c>
      <c r="CO12" s="109" t="str">
        <f t="shared" si="10"/>
        <v/>
      </c>
      <c r="CP12" s="109" t="str">
        <f t="shared" si="10"/>
        <v/>
      </c>
      <c r="CQ12" s="109" t="str">
        <f t="shared" si="10"/>
        <v/>
      </c>
      <c r="CR12" s="109" t="str">
        <f t="shared" si="10"/>
        <v/>
      </c>
      <c r="CS12" s="109" t="str">
        <f t="shared" si="10"/>
        <v/>
      </c>
      <c r="CT12" s="109" t="str">
        <f t="shared" si="10"/>
        <v/>
      </c>
      <c r="CU12" s="109" t="str">
        <f t="shared" si="10"/>
        <v/>
      </c>
      <c r="CV12" s="109" t="str">
        <f t="shared" si="11"/>
        <v/>
      </c>
      <c r="CW12" s="109" t="str">
        <f t="shared" si="11"/>
        <v/>
      </c>
      <c r="CX12" s="109" t="str">
        <f t="shared" si="11"/>
        <v/>
      </c>
      <c r="CY12" s="109" t="str">
        <f t="shared" si="11"/>
        <v/>
      </c>
      <c r="CZ12" s="109" t="str">
        <f t="shared" si="11"/>
        <v/>
      </c>
      <c r="DA12" s="109" t="str">
        <f t="shared" si="11"/>
        <v/>
      </c>
      <c r="DB12" s="109" t="str">
        <f t="shared" si="11"/>
        <v/>
      </c>
      <c r="DC12" s="109" t="str">
        <f t="shared" si="11"/>
        <v/>
      </c>
    </row>
    <row r="13" spans="1:107" ht="26.25" customHeight="1" x14ac:dyDescent="0.25">
      <c r="A13" s="92" t="s">
        <v>312</v>
      </c>
      <c r="B13" s="76" t="s">
        <v>350</v>
      </c>
      <c r="C13" s="77" t="s">
        <v>477</v>
      </c>
      <c r="D13" s="77" t="s">
        <v>477</v>
      </c>
      <c r="E13" s="94">
        <v>46126</v>
      </c>
      <c r="F13" s="108">
        <v>1</v>
      </c>
      <c r="G13" s="110">
        <f t="shared" si="0"/>
        <v>46126</v>
      </c>
      <c r="H13" s="102">
        <v>0</v>
      </c>
      <c r="I13" s="97" t="str">
        <f t="shared" ca="1" si="1"/>
        <v>Late</v>
      </c>
      <c r="J13" s="109" t="str">
        <f t="shared" ref="J13:S22" si="12">IF(AND(J$2&gt;=$E13,J$2&lt;=$G13),1,"")</f>
        <v/>
      </c>
      <c r="K13" s="109" t="str">
        <f t="shared" si="12"/>
        <v/>
      </c>
      <c r="L13" s="109" t="str">
        <f t="shared" si="12"/>
        <v/>
      </c>
      <c r="M13" s="109" t="str">
        <f t="shared" si="12"/>
        <v/>
      </c>
      <c r="N13" s="109" t="str">
        <f t="shared" si="12"/>
        <v/>
      </c>
      <c r="O13" s="109" t="str">
        <f t="shared" si="12"/>
        <v/>
      </c>
      <c r="P13" s="109" t="str">
        <f t="shared" si="12"/>
        <v/>
      </c>
      <c r="Q13" s="109" t="str">
        <f t="shared" si="12"/>
        <v/>
      </c>
      <c r="R13" s="109" t="str">
        <f t="shared" si="12"/>
        <v/>
      </c>
      <c r="S13" s="109" t="str">
        <f t="shared" si="12"/>
        <v/>
      </c>
      <c r="T13" s="109" t="str">
        <f t="shared" ref="T13:AC22" si="13">IF(AND(T$2&gt;=$E13,T$2&lt;=$G13),1,"")</f>
        <v/>
      </c>
      <c r="U13" s="109" t="str">
        <f t="shared" si="13"/>
        <v/>
      </c>
      <c r="V13" s="109" t="str">
        <f t="shared" si="13"/>
        <v/>
      </c>
      <c r="W13" s="109" t="str">
        <f t="shared" si="13"/>
        <v/>
      </c>
      <c r="X13" s="109" t="str">
        <f t="shared" si="13"/>
        <v/>
      </c>
      <c r="Y13" s="109">
        <f t="shared" si="13"/>
        <v>1</v>
      </c>
      <c r="Z13" s="109" t="str">
        <f t="shared" si="13"/>
        <v/>
      </c>
      <c r="AA13" s="109" t="str">
        <f t="shared" si="13"/>
        <v/>
      </c>
      <c r="AB13" s="109" t="str">
        <f t="shared" si="13"/>
        <v/>
      </c>
      <c r="AC13" s="109" t="str">
        <f t="shared" si="13"/>
        <v/>
      </c>
      <c r="AD13" s="109" t="str">
        <f t="shared" ref="AD13:AM22" si="14">IF(AND(AD$2&gt;=$E13,AD$2&lt;=$G13),1,"")</f>
        <v/>
      </c>
      <c r="AE13" s="109" t="str">
        <f t="shared" si="14"/>
        <v/>
      </c>
      <c r="AF13" s="109" t="str">
        <f t="shared" si="14"/>
        <v/>
      </c>
      <c r="AG13" s="109" t="str">
        <f t="shared" si="14"/>
        <v/>
      </c>
      <c r="AH13" s="109" t="str">
        <f t="shared" si="14"/>
        <v/>
      </c>
      <c r="AI13" s="109" t="str">
        <f t="shared" si="14"/>
        <v/>
      </c>
      <c r="AJ13" s="109" t="str">
        <f t="shared" si="14"/>
        <v/>
      </c>
      <c r="AK13" s="109" t="str">
        <f t="shared" si="14"/>
        <v/>
      </c>
      <c r="AL13" s="109" t="str">
        <f t="shared" si="14"/>
        <v/>
      </c>
      <c r="AM13" s="109" t="str">
        <f t="shared" si="14"/>
        <v/>
      </c>
      <c r="AN13" s="109" t="str">
        <f t="shared" ref="AN13:AW22" si="15">IF(AND(AN$2&gt;=$E13,AN$2&lt;=$G13),1,"")</f>
        <v/>
      </c>
      <c r="AO13" s="109" t="str">
        <f t="shared" si="15"/>
        <v/>
      </c>
      <c r="AP13" s="109" t="str">
        <f t="shared" si="15"/>
        <v/>
      </c>
      <c r="AQ13" s="109" t="str">
        <f t="shared" si="15"/>
        <v/>
      </c>
      <c r="AR13" s="109" t="str">
        <f t="shared" si="15"/>
        <v/>
      </c>
      <c r="AS13" s="109" t="str">
        <f t="shared" si="15"/>
        <v/>
      </c>
      <c r="AT13" s="109" t="str">
        <f t="shared" si="15"/>
        <v/>
      </c>
      <c r="AU13" s="109" t="str">
        <f t="shared" si="15"/>
        <v/>
      </c>
      <c r="AV13" s="109" t="str">
        <f t="shared" si="15"/>
        <v/>
      </c>
      <c r="AW13" s="109" t="str">
        <f t="shared" si="15"/>
        <v/>
      </c>
      <c r="AX13" s="109" t="str">
        <f t="shared" ref="AX13:BG22" si="16">IF(AND(AX$2&gt;=$E13,AX$2&lt;=$G13),1,"")</f>
        <v/>
      </c>
      <c r="AY13" s="109" t="str">
        <f t="shared" si="16"/>
        <v/>
      </c>
      <c r="AZ13" s="109" t="str">
        <f t="shared" si="16"/>
        <v/>
      </c>
      <c r="BA13" s="109" t="str">
        <f t="shared" si="16"/>
        <v/>
      </c>
      <c r="BB13" s="109" t="str">
        <f t="shared" si="16"/>
        <v/>
      </c>
      <c r="BC13" s="109" t="str">
        <f t="shared" si="16"/>
        <v/>
      </c>
      <c r="BD13" s="109" t="str">
        <f t="shared" si="16"/>
        <v/>
      </c>
      <c r="BE13" s="109" t="str">
        <f t="shared" si="16"/>
        <v/>
      </c>
      <c r="BF13" s="109" t="str">
        <f t="shared" si="16"/>
        <v/>
      </c>
      <c r="BG13" s="109" t="str">
        <f t="shared" si="16"/>
        <v/>
      </c>
      <c r="BH13" s="109" t="str">
        <f t="shared" ref="BH13:BQ22" si="17">IF(AND(BH$2&gt;=$E13,BH$2&lt;=$G13),1,"")</f>
        <v/>
      </c>
      <c r="BI13" s="109" t="str">
        <f t="shared" si="17"/>
        <v/>
      </c>
      <c r="BJ13" s="109" t="str">
        <f t="shared" si="17"/>
        <v/>
      </c>
      <c r="BK13" s="109" t="str">
        <f t="shared" si="17"/>
        <v/>
      </c>
      <c r="BL13" s="109" t="str">
        <f t="shared" si="17"/>
        <v/>
      </c>
      <c r="BM13" s="109" t="str">
        <f t="shared" si="17"/>
        <v/>
      </c>
      <c r="BN13" s="109" t="str">
        <f t="shared" si="17"/>
        <v/>
      </c>
      <c r="BO13" s="109" t="str">
        <f t="shared" si="17"/>
        <v/>
      </c>
      <c r="BP13" s="109" t="str">
        <f t="shared" si="17"/>
        <v/>
      </c>
      <c r="BQ13" s="109" t="str">
        <f t="shared" si="17"/>
        <v/>
      </c>
      <c r="BR13" s="109" t="str">
        <f t="shared" ref="BR13:CA22" si="18">IF(AND(BR$2&gt;=$E13,BR$2&lt;=$G13),1,"")</f>
        <v/>
      </c>
      <c r="BS13" s="109" t="str">
        <f t="shared" si="18"/>
        <v/>
      </c>
      <c r="BT13" s="109" t="str">
        <f t="shared" si="18"/>
        <v/>
      </c>
      <c r="BU13" s="109" t="str">
        <f t="shared" si="18"/>
        <v/>
      </c>
      <c r="BV13" s="109" t="str">
        <f t="shared" si="18"/>
        <v/>
      </c>
      <c r="BW13" s="109" t="str">
        <f t="shared" si="18"/>
        <v/>
      </c>
      <c r="BX13" s="109" t="str">
        <f t="shared" si="18"/>
        <v/>
      </c>
      <c r="BY13" s="109" t="str">
        <f t="shared" si="18"/>
        <v/>
      </c>
      <c r="BZ13" s="109" t="str">
        <f t="shared" si="18"/>
        <v/>
      </c>
      <c r="CA13" s="109" t="str">
        <f t="shared" si="18"/>
        <v/>
      </c>
      <c r="CB13" s="109" t="str">
        <f t="shared" ref="CB13:CK22" si="19">IF(AND(CB$2&gt;=$E13,CB$2&lt;=$G13),1,"")</f>
        <v/>
      </c>
      <c r="CC13" s="109" t="str">
        <f t="shared" si="19"/>
        <v/>
      </c>
      <c r="CD13" s="109" t="str">
        <f t="shared" si="19"/>
        <v/>
      </c>
      <c r="CE13" s="109" t="str">
        <f t="shared" si="19"/>
        <v/>
      </c>
      <c r="CF13" s="109" t="str">
        <f t="shared" si="19"/>
        <v/>
      </c>
      <c r="CG13" s="109" t="str">
        <f t="shared" si="19"/>
        <v/>
      </c>
      <c r="CH13" s="109" t="str">
        <f t="shared" si="19"/>
        <v/>
      </c>
      <c r="CI13" s="109" t="str">
        <f t="shared" si="19"/>
        <v/>
      </c>
      <c r="CJ13" s="109" t="str">
        <f t="shared" si="19"/>
        <v/>
      </c>
      <c r="CK13" s="109" t="str">
        <f t="shared" si="19"/>
        <v/>
      </c>
      <c r="CL13" s="109" t="str">
        <f t="shared" ref="CL13:CU22" si="20">IF(AND(CL$2&gt;=$E13,CL$2&lt;=$G13),1,"")</f>
        <v/>
      </c>
      <c r="CM13" s="109" t="str">
        <f t="shared" si="20"/>
        <v/>
      </c>
      <c r="CN13" s="109" t="str">
        <f t="shared" si="20"/>
        <v/>
      </c>
      <c r="CO13" s="109" t="str">
        <f t="shared" si="20"/>
        <v/>
      </c>
      <c r="CP13" s="109" t="str">
        <f t="shared" si="20"/>
        <v/>
      </c>
      <c r="CQ13" s="109" t="str">
        <f t="shared" si="20"/>
        <v/>
      </c>
      <c r="CR13" s="109" t="str">
        <f t="shared" si="20"/>
        <v/>
      </c>
      <c r="CS13" s="109" t="str">
        <f t="shared" si="20"/>
        <v/>
      </c>
      <c r="CT13" s="109" t="str">
        <f t="shared" si="20"/>
        <v/>
      </c>
      <c r="CU13" s="109" t="str">
        <f t="shared" si="20"/>
        <v/>
      </c>
      <c r="CV13" s="109" t="str">
        <f t="shared" ref="CV13:DC22" si="21">IF(AND(CV$2&gt;=$E13,CV$2&lt;=$G13),1,"")</f>
        <v/>
      </c>
      <c r="CW13" s="109" t="str">
        <f t="shared" si="21"/>
        <v/>
      </c>
      <c r="CX13" s="109" t="str">
        <f t="shared" si="21"/>
        <v/>
      </c>
      <c r="CY13" s="109" t="str">
        <f t="shared" si="21"/>
        <v/>
      </c>
      <c r="CZ13" s="109" t="str">
        <f t="shared" si="21"/>
        <v/>
      </c>
      <c r="DA13" s="109" t="str">
        <f t="shared" si="21"/>
        <v/>
      </c>
      <c r="DB13" s="109" t="str">
        <f t="shared" si="21"/>
        <v/>
      </c>
      <c r="DC13" s="109" t="str">
        <f t="shared" si="21"/>
        <v/>
      </c>
    </row>
    <row r="14" spans="1:107" ht="26.25" customHeight="1" x14ac:dyDescent="0.25">
      <c r="A14" s="92" t="s">
        <v>312</v>
      </c>
      <c r="B14" s="76" t="s">
        <v>350</v>
      </c>
      <c r="C14" s="77" t="s">
        <v>478</v>
      </c>
      <c r="D14" s="77" t="s">
        <v>478</v>
      </c>
      <c r="E14" s="94">
        <v>46128</v>
      </c>
      <c r="F14" s="108">
        <v>3</v>
      </c>
      <c r="G14" s="110">
        <f t="shared" si="0"/>
        <v>46130</v>
      </c>
      <c r="H14" s="102">
        <v>0</v>
      </c>
      <c r="I14" s="97" t="str">
        <f t="shared" ca="1" si="1"/>
        <v>Late</v>
      </c>
      <c r="J14" s="109" t="str">
        <f t="shared" si="12"/>
        <v/>
      </c>
      <c r="K14" s="109" t="str">
        <f t="shared" si="12"/>
        <v/>
      </c>
      <c r="L14" s="109" t="str">
        <f t="shared" si="12"/>
        <v/>
      </c>
      <c r="M14" s="109" t="str">
        <f t="shared" si="12"/>
        <v/>
      </c>
      <c r="N14" s="109" t="str">
        <f t="shared" si="12"/>
        <v/>
      </c>
      <c r="O14" s="109" t="str">
        <f t="shared" si="12"/>
        <v/>
      </c>
      <c r="P14" s="109" t="str">
        <f t="shared" si="12"/>
        <v/>
      </c>
      <c r="Q14" s="109" t="str">
        <f t="shared" si="12"/>
        <v/>
      </c>
      <c r="R14" s="109" t="str">
        <f t="shared" si="12"/>
        <v/>
      </c>
      <c r="S14" s="109" t="str">
        <f t="shared" si="12"/>
        <v/>
      </c>
      <c r="T14" s="109" t="str">
        <f t="shared" si="13"/>
        <v/>
      </c>
      <c r="U14" s="109" t="str">
        <f t="shared" si="13"/>
        <v/>
      </c>
      <c r="V14" s="109" t="str">
        <f t="shared" si="13"/>
        <v/>
      </c>
      <c r="W14" s="109" t="str">
        <f t="shared" si="13"/>
        <v/>
      </c>
      <c r="X14" s="109" t="str">
        <f t="shared" si="13"/>
        <v/>
      </c>
      <c r="Y14" s="109" t="str">
        <f t="shared" si="13"/>
        <v/>
      </c>
      <c r="Z14" s="109" t="str">
        <f t="shared" si="13"/>
        <v/>
      </c>
      <c r="AA14" s="109">
        <f t="shared" si="13"/>
        <v>1</v>
      </c>
      <c r="AB14" s="109">
        <f t="shared" si="13"/>
        <v>1</v>
      </c>
      <c r="AC14" s="109">
        <f t="shared" si="13"/>
        <v>1</v>
      </c>
      <c r="AD14" s="109" t="str">
        <f t="shared" si="14"/>
        <v/>
      </c>
      <c r="AE14" s="109" t="str">
        <f t="shared" si="14"/>
        <v/>
      </c>
      <c r="AF14" s="109" t="str">
        <f t="shared" si="14"/>
        <v/>
      </c>
      <c r="AG14" s="109" t="str">
        <f t="shared" si="14"/>
        <v/>
      </c>
      <c r="AH14" s="109" t="str">
        <f t="shared" si="14"/>
        <v/>
      </c>
      <c r="AI14" s="109" t="str">
        <f t="shared" si="14"/>
        <v/>
      </c>
      <c r="AJ14" s="109" t="str">
        <f t="shared" si="14"/>
        <v/>
      </c>
      <c r="AK14" s="109" t="str">
        <f t="shared" si="14"/>
        <v/>
      </c>
      <c r="AL14" s="109" t="str">
        <f t="shared" si="14"/>
        <v/>
      </c>
      <c r="AM14" s="109" t="str">
        <f t="shared" si="14"/>
        <v/>
      </c>
      <c r="AN14" s="109" t="str">
        <f t="shared" si="15"/>
        <v/>
      </c>
      <c r="AO14" s="109" t="str">
        <f t="shared" si="15"/>
        <v/>
      </c>
      <c r="AP14" s="109" t="str">
        <f t="shared" si="15"/>
        <v/>
      </c>
      <c r="AQ14" s="109" t="str">
        <f t="shared" si="15"/>
        <v/>
      </c>
      <c r="AR14" s="109" t="str">
        <f t="shared" si="15"/>
        <v/>
      </c>
      <c r="AS14" s="109" t="str">
        <f t="shared" si="15"/>
        <v/>
      </c>
      <c r="AT14" s="109" t="str">
        <f t="shared" si="15"/>
        <v/>
      </c>
      <c r="AU14" s="109" t="str">
        <f t="shared" si="15"/>
        <v/>
      </c>
      <c r="AV14" s="109" t="str">
        <f t="shared" si="15"/>
        <v/>
      </c>
      <c r="AW14" s="109" t="str">
        <f t="shared" si="15"/>
        <v/>
      </c>
      <c r="AX14" s="109" t="str">
        <f t="shared" si="16"/>
        <v/>
      </c>
      <c r="AY14" s="109" t="str">
        <f t="shared" si="16"/>
        <v/>
      </c>
      <c r="AZ14" s="109" t="str">
        <f t="shared" si="16"/>
        <v/>
      </c>
      <c r="BA14" s="109" t="str">
        <f t="shared" si="16"/>
        <v/>
      </c>
      <c r="BB14" s="109" t="str">
        <f t="shared" si="16"/>
        <v/>
      </c>
      <c r="BC14" s="109" t="str">
        <f t="shared" si="16"/>
        <v/>
      </c>
      <c r="BD14" s="109" t="str">
        <f t="shared" si="16"/>
        <v/>
      </c>
      <c r="BE14" s="109" t="str">
        <f t="shared" si="16"/>
        <v/>
      </c>
      <c r="BF14" s="109" t="str">
        <f t="shared" si="16"/>
        <v/>
      </c>
      <c r="BG14" s="109" t="str">
        <f t="shared" si="16"/>
        <v/>
      </c>
      <c r="BH14" s="109" t="str">
        <f t="shared" si="17"/>
        <v/>
      </c>
      <c r="BI14" s="109" t="str">
        <f t="shared" si="17"/>
        <v/>
      </c>
      <c r="BJ14" s="109" t="str">
        <f t="shared" si="17"/>
        <v/>
      </c>
      <c r="BK14" s="109" t="str">
        <f t="shared" si="17"/>
        <v/>
      </c>
      <c r="BL14" s="109" t="str">
        <f t="shared" si="17"/>
        <v/>
      </c>
      <c r="BM14" s="109" t="str">
        <f t="shared" si="17"/>
        <v/>
      </c>
      <c r="BN14" s="109" t="str">
        <f t="shared" si="17"/>
        <v/>
      </c>
      <c r="BO14" s="109" t="str">
        <f t="shared" si="17"/>
        <v/>
      </c>
      <c r="BP14" s="109" t="str">
        <f t="shared" si="17"/>
        <v/>
      </c>
      <c r="BQ14" s="109" t="str">
        <f t="shared" si="17"/>
        <v/>
      </c>
      <c r="BR14" s="109" t="str">
        <f t="shared" si="18"/>
        <v/>
      </c>
      <c r="BS14" s="109" t="str">
        <f t="shared" si="18"/>
        <v/>
      </c>
      <c r="BT14" s="109" t="str">
        <f t="shared" si="18"/>
        <v/>
      </c>
      <c r="BU14" s="109" t="str">
        <f t="shared" si="18"/>
        <v/>
      </c>
      <c r="BV14" s="109" t="str">
        <f t="shared" si="18"/>
        <v/>
      </c>
      <c r="BW14" s="109" t="str">
        <f t="shared" si="18"/>
        <v/>
      </c>
      <c r="BX14" s="109" t="str">
        <f t="shared" si="18"/>
        <v/>
      </c>
      <c r="BY14" s="109" t="str">
        <f t="shared" si="18"/>
        <v/>
      </c>
      <c r="BZ14" s="109" t="str">
        <f t="shared" si="18"/>
        <v/>
      </c>
      <c r="CA14" s="109" t="str">
        <f t="shared" si="18"/>
        <v/>
      </c>
      <c r="CB14" s="109" t="str">
        <f t="shared" si="19"/>
        <v/>
      </c>
      <c r="CC14" s="109" t="str">
        <f t="shared" si="19"/>
        <v/>
      </c>
      <c r="CD14" s="109" t="str">
        <f t="shared" si="19"/>
        <v/>
      </c>
      <c r="CE14" s="109" t="str">
        <f t="shared" si="19"/>
        <v/>
      </c>
      <c r="CF14" s="109" t="str">
        <f t="shared" si="19"/>
        <v/>
      </c>
      <c r="CG14" s="109" t="str">
        <f t="shared" si="19"/>
        <v/>
      </c>
      <c r="CH14" s="109" t="str">
        <f t="shared" si="19"/>
        <v/>
      </c>
      <c r="CI14" s="109" t="str">
        <f t="shared" si="19"/>
        <v/>
      </c>
      <c r="CJ14" s="109" t="str">
        <f t="shared" si="19"/>
        <v/>
      </c>
      <c r="CK14" s="109" t="str">
        <f t="shared" si="19"/>
        <v/>
      </c>
      <c r="CL14" s="109" t="str">
        <f t="shared" si="20"/>
        <v/>
      </c>
      <c r="CM14" s="109" t="str">
        <f t="shared" si="20"/>
        <v/>
      </c>
      <c r="CN14" s="109" t="str">
        <f t="shared" si="20"/>
        <v/>
      </c>
      <c r="CO14" s="109" t="str">
        <f t="shared" si="20"/>
        <v/>
      </c>
      <c r="CP14" s="109" t="str">
        <f t="shared" si="20"/>
        <v/>
      </c>
      <c r="CQ14" s="109" t="str">
        <f t="shared" si="20"/>
        <v/>
      </c>
      <c r="CR14" s="109" t="str">
        <f t="shared" si="20"/>
        <v/>
      </c>
      <c r="CS14" s="109" t="str">
        <f t="shared" si="20"/>
        <v/>
      </c>
      <c r="CT14" s="109" t="str">
        <f t="shared" si="20"/>
        <v/>
      </c>
      <c r="CU14" s="109" t="str">
        <f t="shared" si="20"/>
        <v/>
      </c>
      <c r="CV14" s="109" t="str">
        <f t="shared" si="21"/>
        <v/>
      </c>
      <c r="CW14" s="109" t="str">
        <f t="shared" si="21"/>
        <v/>
      </c>
      <c r="CX14" s="109" t="str">
        <f t="shared" si="21"/>
        <v/>
      </c>
      <c r="CY14" s="109" t="str">
        <f t="shared" si="21"/>
        <v/>
      </c>
      <c r="CZ14" s="109" t="str">
        <f t="shared" si="21"/>
        <v/>
      </c>
      <c r="DA14" s="109" t="str">
        <f t="shared" si="21"/>
        <v/>
      </c>
      <c r="DB14" s="109" t="str">
        <f t="shared" si="21"/>
        <v/>
      </c>
      <c r="DC14" s="109" t="str">
        <f t="shared" si="21"/>
        <v/>
      </c>
    </row>
    <row r="15" spans="1:107" ht="26.25" customHeight="1" x14ac:dyDescent="0.25">
      <c r="A15" s="92" t="s">
        <v>316</v>
      </c>
      <c r="B15" s="76" t="s">
        <v>355</v>
      </c>
      <c r="C15" s="77" t="s">
        <v>382</v>
      </c>
      <c r="D15" s="77" t="s">
        <v>382</v>
      </c>
      <c r="E15" s="94">
        <v>46108</v>
      </c>
      <c r="F15" s="108">
        <v>7</v>
      </c>
      <c r="G15" s="110">
        <f t="shared" si="0"/>
        <v>46114</v>
      </c>
      <c r="H15" s="102">
        <v>0.71428571428571397</v>
      </c>
      <c r="I15" s="97" t="str">
        <f t="shared" ca="1" si="1"/>
        <v>Late</v>
      </c>
      <c r="J15" s="109">
        <f t="shared" si="12"/>
        <v>1</v>
      </c>
      <c r="K15" s="109">
        <f t="shared" si="12"/>
        <v>1</v>
      </c>
      <c r="L15" s="109">
        <f t="shared" si="12"/>
        <v>1</v>
      </c>
      <c r="M15" s="109">
        <f t="shared" si="12"/>
        <v>1</v>
      </c>
      <c r="N15" s="109" t="str">
        <f t="shared" si="12"/>
        <v/>
      </c>
      <c r="O15" s="109" t="str">
        <f t="shared" si="12"/>
        <v/>
      </c>
      <c r="P15" s="109" t="str">
        <f t="shared" si="12"/>
        <v/>
      </c>
      <c r="Q15" s="109" t="str">
        <f t="shared" si="12"/>
        <v/>
      </c>
      <c r="R15" s="109" t="str">
        <f t="shared" si="12"/>
        <v/>
      </c>
      <c r="S15" s="109" t="str">
        <f t="shared" si="12"/>
        <v/>
      </c>
      <c r="T15" s="109" t="str">
        <f t="shared" si="13"/>
        <v/>
      </c>
      <c r="U15" s="109" t="str">
        <f t="shared" si="13"/>
        <v/>
      </c>
      <c r="V15" s="109" t="str">
        <f t="shared" si="13"/>
        <v/>
      </c>
      <c r="W15" s="109" t="str">
        <f t="shared" si="13"/>
        <v/>
      </c>
      <c r="X15" s="109" t="str">
        <f t="shared" si="13"/>
        <v/>
      </c>
      <c r="Y15" s="109" t="str">
        <f t="shared" si="13"/>
        <v/>
      </c>
      <c r="Z15" s="109" t="str">
        <f t="shared" si="13"/>
        <v/>
      </c>
      <c r="AA15" s="109" t="str">
        <f t="shared" si="13"/>
        <v/>
      </c>
      <c r="AB15" s="109" t="str">
        <f t="shared" si="13"/>
        <v/>
      </c>
      <c r="AC15" s="109" t="str">
        <f t="shared" si="13"/>
        <v/>
      </c>
      <c r="AD15" s="109" t="str">
        <f t="shared" si="14"/>
        <v/>
      </c>
      <c r="AE15" s="109" t="str">
        <f t="shared" si="14"/>
        <v/>
      </c>
      <c r="AF15" s="109" t="str">
        <f t="shared" si="14"/>
        <v/>
      </c>
      <c r="AG15" s="109" t="str">
        <f t="shared" si="14"/>
        <v/>
      </c>
      <c r="AH15" s="109" t="str">
        <f t="shared" si="14"/>
        <v/>
      </c>
      <c r="AI15" s="109" t="str">
        <f t="shared" si="14"/>
        <v/>
      </c>
      <c r="AJ15" s="109" t="str">
        <f t="shared" si="14"/>
        <v/>
      </c>
      <c r="AK15" s="109" t="str">
        <f t="shared" si="14"/>
        <v/>
      </c>
      <c r="AL15" s="109" t="str">
        <f t="shared" si="14"/>
        <v/>
      </c>
      <c r="AM15" s="109" t="str">
        <f t="shared" si="14"/>
        <v/>
      </c>
      <c r="AN15" s="109" t="str">
        <f t="shared" si="15"/>
        <v/>
      </c>
      <c r="AO15" s="109" t="str">
        <f t="shared" si="15"/>
        <v/>
      </c>
      <c r="AP15" s="109" t="str">
        <f t="shared" si="15"/>
        <v/>
      </c>
      <c r="AQ15" s="109" t="str">
        <f t="shared" si="15"/>
        <v/>
      </c>
      <c r="AR15" s="109" t="str">
        <f t="shared" si="15"/>
        <v/>
      </c>
      <c r="AS15" s="109" t="str">
        <f t="shared" si="15"/>
        <v/>
      </c>
      <c r="AT15" s="109" t="str">
        <f t="shared" si="15"/>
        <v/>
      </c>
      <c r="AU15" s="109" t="str">
        <f t="shared" si="15"/>
        <v/>
      </c>
      <c r="AV15" s="109" t="str">
        <f t="shared" si="15"/>
        <v/>
      </c>
      <c r="AW15" s="109" t="str">
        <f t="shared" si="15"/>
        <v/>
      </c>
      <c r="AX15" s="109" t="str">
        <f t="shared" si="16"/>
        <v/>
      </c>
      <c r="AY15" s="109" t="str">
        <f t="shared" si="16"/>
        <v/>
      </c>
      <c r="AZ15" s="109" t="str">
        <f t="shared" si="16"/>
        <v/>
      </c>
      <c r="BA15" s="109" t="str">
        <f t="shared" si="16"/>
        <v/>
      </c>
      <c r="BB15" s="109" t="str">
        <f t="shared" si="16"/>
        <v/>
      </c>
      <c r="BC15" s="109" t="str">
        <f t="shared" si="16"/>
        <v/>
      </c>
      <c r="BD15" s="109" t="str">
        <f t="shared" si="16"/>
        <v/>
      </c>
      <c r="BE15" s="109" t="str">
        <f t="shared" si="16"/>
        <v/>
      </c>
      <c r="BF15" s="109" t="str">
        <f t="shared" si="16"/>
        <v/>
      </c>
      <c r="BG15" s="109" t="str">
        <f t="shared" si="16"/>
        <v/>
      </c>
      <c r="BH15" s="109" t="str">
        <f t="shared" si="17"/>
        <v/>
      </c>
      <c r="BI15" s="109" t="str">
        <f t="shared" si="17"/>
        <v/>
      </c>
      <c r="BJ15" s="109" t="str">
        <f t="shared" si="17"/>
        <v/>
      </c>
      <c r="BK15" s="109" t="str">
        <f t="shared" si="17"/>
        <v/>
      </c>
      <c r="BL15" s="109" t="str">
        <f t="shared" si="17"/>
        <v/>
      </c>
      <c r="BM15" s="109" t="str">
        <f t="shared" si="17"/>
        <v/>
      </c>
      <c r="BN15" s="109" t="str">
        <f t="shared" si="17"/>
        <v/>
      </c>
      <c r="BO15" s="109" t="str">
        <f t="shared" si="17"/>
        <v/>
      </c>
      <c r="BP15" s="109" t="str">
        <f t="shared" si="17"/>
        <v/>
      </c>
      <c r="BQ15" s="109" t="str">
        <f t="shared" si="17"/>
        <v/>
      </c>
      <c r="BR15" s="109" t="str">
        <f t="shared" si="18"/>
        <v/>
      </c>
      <c r="BS15" s="109" t="str">
        <f t="shared" si="18"/>
        <v/>
      </c>
      <c r="BT15" s="109" t="str">
        <f t="shared" si="18"/>
        <v/>
      </c>
      <c r="BU15" s="109" t="str">
        <f t="shared" si="18"/>
        <v/>
      </c>
      <c r="BV15" s="109" t="str">
        <f t="shared" si="18"/>
        <v/>
      </c>
      <c r="BW15" s="109" t="str">
        <f t="shared" si="18"/>
        <v/>
      </c>
      <c r="BX15" s="109" t="str">
        <f t="shared" si="18"/>
        <v/>
      </c>
      <c r="BY15" s="109" t="str">
        <f t="shared" si="18"/>
        <v/>
      </c>
      <c r="BZ15" s="109" t="str">
        <f t="shared" si="18"/>
        <v/>
      </c>
      <c r="CA15" s="109" t="str">
        <f t="shared" si="18"/>
        <v/>
      </c>
      <c r="CB15" s="109" t="str">
        <f t="shared" si="19"/>
        <v/>
      </c>
      <c r="CC15" s="109" t="str">
        <f t="shared" si="19"/>
        <v/>
      </c>
      <c r="CD15" s="109" t="str">
        <f t="shared" si="19"/>
        <v/>
      </c>
      <c r="CE15" s="109" t="str">
        <f t="shared" si="19"/>
        <v/>
      </c>
      <c r="CF15" s="109" t="str">
        <f t="shared" si="19"/>
        <v/>
      </c>
      <c r="CG15" s="109" t="str">
        <f t="shared" si="19"/>
        <v/>
      </c>
      <c r="CH15" s="109" t="str">
        <f t="shared" si="19"/>
        <v/>
      </c>
      <c r="CI15" s="109" t="str">
        <f t="shared" si="19"/>
        <v/>
      </c>
      <c r="CJ15" s="109" t="str">
        <f t="shared" si="19"/>
        <v/>
      </c>
      <c r="CK15" s="109" t="str">
        <f t="shared" si="19"/>
        <v/>
      </c>
      <c r="CL15" s="109" t="str">
        <f t="shared" si="20"/>
        <v/>
      </c>
      <c r="CM15" s="109" t="str">
        <f t="shared" si="20"/>
        <v/>
      </c>
      <c r="CN15" s="109" t="str">
        <f t="shared" si="20"/>
        <v/>
      </c>
      <c r="CO15" s="109" t="str">
        <f t="shared" si="20"/>
        <v/>
      </c>
      <c r="CP15" s="109" t="str">
        <f t="shared" si="20"/>
        <v/>
      </c>
      <c r="CQ15" s="109" t="str">
        <f t="shared" si="20"/>
        <v/>
      </c>
      <c r="CR15" s="109" t="str">
        <f t="shared" si="20"/>
        <v/>
      </c>
      <c r="CS15" s="109" t="str">
        <f t="shared" si="20"/>
        <v/>
      </c>
      <c r="CT15" s="109" t="str">
        <f t="shared" si="20"/>
        <v/>
      </c>
      <c r="CU15" s="109" t="str">
        <f t="shared" si="20"/>
        <v/>
      </c>
      <c r="CV15" s="109" t="str">
        <f t="shared" si="21"/>
        <v/>
      </c>
      <c r="CW15" s="109" t="str">
        <f t="shared" si="21"/>
        <v/>
      </c>
      <c r="CX15" s="109" t="str">
        <f t="shared" si="21"/>
        <v/>
      </c>
      <c r="CY15" s="109" t="str">
        <f t="shared" si="21"/>
        <v/>
      </c>
      <c r="CZ15" s="109" t="str">
        <f t="shared" si="21"/>
        <v/>
      </c>
      <c r="DA15" s="109" t="str">
        <f t="shared" si="21"/>
        <v/>
      </c>
      <c r="DB15" s="109" t="str">
        <f t="shared" si="21"/>
        <v/>
      </c>
      <c r="DC15" s="109" t="str">
        <f t="shared" si="21"/>
        <v/>
      </c>
    </row>
    <row r="16" spans="1:107" ht="26.25" customHeight="1" x14ac:dyDescent="0.25">
      <c r="A16" s="92" t="s">
        <v>316</v>
      </c>
      <c r="B16" s="76" t="s">
        <v>355</v>
      </c>
      <c r="C16" s="77" t="s">
        <v>479</v>
      </c>
      <c r="D16" s="77" t="s">
        <v>382</v>
      </c>
      <c r="E16" s="94">
        <v>46114</v>
      </c>
      <c r="F16" s="108">
        <v>1</v>
      </c>
      <c r="G16" s="110">
        <f t="shared" si="0"/>
        <v>46114</v>
      </c>
      <c r="H16" s="102">
        <v>0</v>
      </c>
      <c r="I16" s="97" t="str">
        <f t="shared" ca="1" si="1"/>
        <v>Late</v>
      </c>
      <c r="J16" s="109" t="str">
        <f t="shared" si="12"/>
        <v/>
      </c>
      <c r="K16" s="109" t="str">
        <f t="shared" si="12"/>
        <v/>
      </c>
      <c r="L16" s="109" t="str">
        <f t="shared" si="12"/>
        <v/>
      </c>
      <c r="M16" s="109">
        <f t="shared" si="12"/>
        <v>1</v>
      </c>
      <c r="N16" s="109" t="str">
        <f t="shared" si="12"/>
        <v/>
      </c>
      <c r="O16" s="109" t="str">
        <f t="shared" si="12"/>
        <v/>
      </c>
      <c r="P16" s="109" t="str">
        <f t="shared" si="12"/>
        <v/>
      </c>
      <c r="Q16" s="109" t="str">
        <f t="shared" si="12"/>
        <v/>
      </c>
      <c r="R16" s="109" t="str">
        <f t="shared" si="12"/>
        <v/>
      </c>
      <c r="S16" s="109" t="str">
        <f t="shared" si="12"/>
        <v/>
      </c>
      <c r="T16" s="109" t="str">
        <f t="shared" si="13"/>
        <v/>
      </c>
      <c r="U16" s="109" t="str">
        <f t="shared" si="13"/>
        <v/>
      </c>
      <c r="V16" s="109" t="str">
        <f t="shared" si="13"/>
        <v/>
      </c>
      <c r="W16" s="109" t="str">
        <f t="shared" si="13"/>
        <v/>
      </c>
      <c r="X16" s="109" t="str">
        <f t="shared" si="13"/>
        <v/>
      </c>
      <c r="Y16" s="109" t="str">
        <f t="shared" si="13"/>
        <v/>
      </c>
      <c r="Z16" s="109" t="str">
        <f t="shared" si="13"/>
        <v/>
      </c>
      <c r="AA16" s="109" t="str">
        <f t="shared" si="13"/>
        <v/>
      </c>
      <c r="AB16" s="109" t="str">
        <f t="shared" si="13"/>
        <v/>
      </c>
      <c r="AC16" s="109" t="str">
        <f t="shared" si="13"/>
        <v/>
      </c>
      <c r="AD16" s="109" t="str">
        <f t="shared" si="14"/>
        <v/>
      </c>
      <c r="AE16" s="109" t="str">
        <f t="shared" si="14"/>
        <v/>
      </c>
      <c r="AF16" s="109" t="str">
        <f t="shared" si="14"/>
        <v/>
      </c>
      <c r="AG16" s="109" t="str">
        <f t="shared" si="14"/>
        <v/>
      </c>
      <c r="AH16" s="109" t="str">
        <f t="shared" si="14"/>
        <v/>
      </c>
      <c r="AI16" s="109" t="str">
        <f t="shared" si="14"/>
        <v/>
      </c>
      <c r="AJ16" s="109" t="str">
        <f t="shared" si="14"/>
        <v/>
      </c>
      <c r="AK16" s="109" t="str">
        <f t="shared" si="14"/>
        <v/>
      </c>
      <c r="AL16" s="109" t="str">
        <f t="shared" si="14"/>
        <v/>
      </c>
      <c r="AM16" s="109" t="str">
        <f t="shared" si="14"/>
        <v/>
      </c>
      <c r="AN16" s="109" t="str">
        <f t="shared" si="15"/>
        <v/>
      </c>
      <c r="AO16" s="109" t="str">
        <f t="shared" si="15"/>
        <v/>
      </c>
      <c r="AP16" s="109" t="str">
        <f t="shared" si="15"/>
        <v/>
      </c>
      <c r="AQ16" s="109" t="str">
        <f t="shared" si="15"/>
        <v/>
      </c>
      <c r="AR16" s="109" t="str">
        <f t="shared" si="15"/>
        <v/>
      </c>
      <c r="AS16" s="109" t="str">
        <f t="shared" si="15"/>
        <v/>
      </c>
      <c r="AT16" s="109" t="str">
        <f t="shared" si="15"/>
        <v/>
      </c>
      <c r="AU16" s="109" t="str">
        <f t="shared" si="15"/>
        <v/>
      </c>
      <c r="AV16" s="109" t="str">
        <f t="shared" si="15"/>
        <v/>
      </c>
      <c r="AW16" s="109" t="str">
        <f t="shared" si="15"/>
        <v/>
      </c>
      <c r="AX16" s="109" t="str">
        <f t="shared" si="16"/>
        <v/>
      </c>
      <c r="AY16" s="109" t="str">
        <f t="shared" si="16"/>
        <v/>
      </c>
      <c r="AZ16" s="109" t="str">
        <f t="shared" si="16"/>
        <v/>
      </c>
      <c r="BA16" s="109" t="str">
        <f t="shared" si="16"/>
        <v/>
      </c>
      <c r="BB16" s="109" t="str">
        <f t="shared" si="16"/>
        <v/>
      </c>
      <c r="BC16" s="109" t="str">
        <f t="shared" si="16"/>
        <v/>
      </c>
      <c r="BD16" s="109" t="str">
        <f t="shared" si="16"/>
        <v/>
      </c>
      <c r="BE16" s="109" t="str">
        <f t="shared" si="16"/>
        <v/>
      </c>
      <c r="BF16" s="109" t="str">
        <f t="shared" si="16"/>
        <v/>
      </c>
      <c r="BG16" s="109" t="str">
        <f t="shared" si="16"/>
        <v/>
      </c>
      <c r="BH16" s="109" t="str">
        <f t="shared" si="17"/>
        <v/>
      </c>
      <c r="BI16" s="109" t="str">
        <f t="shared" si="17"/>
        <v/>
      </c>
      <c r="BJ16" s="109" t="str">
        <f t="shared" si="17"/>
        <v/>
      </c>
      <c r="BK16" s="109" t="str">
        <f t="shared" si="17"/>
        <v/>
      </c>
      <c r="BL16" s="109" t="str">
        <f t="shared" si="17"/>
        <v/>
      </c>
      <c r="BM16" s="109" t="str">
        <f t="shared" si="17"/>
        <v/>
      </c>
      <c r="BN16" s="109" t="str">
        <f t="shared" si="17"/>
        <v/>
      </c>
      <c r="BO16" s="109" t="str">
        <f t="shared" si="17"/>
        <v/>
      </c>
      <c r="BP16" s="109" t="str">
        <f t="shared" si="17"/>
        <v/>
      </c>
      <c r="BQ16" s="109" t="str">
        <f t="shared" si="17"/>
        <v/>
      </c>
      <c r="BR16" s="109" t="str">
        <f t="shared" si="18"/>
        <v/>
      </c>
      <c r="BS16" s="109" t="str">
        <f t="shared" si="18"/>
        <v/>
      </c>
      <c r="BT16" s="109" t="str">
        <f t="shared" si="18"/>
        <v/>
      </c>
      <c r="BU16" s="109" t="str">
        <f t="shared" si="18"/>
        <v/>
      </c>
      <c r="BV16" s="109" t="str">
        <f t="shared" si="18"/>
        <v/>
      </c>
      <c r="BW16" s="109" t="str">
        <f t="shared" si="18"/>
        <v/>
      </c>
      <c r="BX16" s="109" t="str">
        <f t="shared" si="18"/>
        <v/>
      </c>
      <c r="BY16" s="109" t="str">
        <f t="shared" si="18"/>
        <v/>
      </c>
      <c r="BZ16" s="109" t="str">
        <f t="shared" si="18"/>
        <v/>
      </c>
      <c r="CA16" s="109" t="str">
        <f t="shared" si="18"/>
        <v/>
      </c>
      <c r="CB16" s="109" t="str">
        <f t="shared" si="19"/>
        <v/>
      </c>
      <c r="CC16" s="109" t="str">
        <f t="shared" si="19"/>
        <v/>
      </c>
      <c r="CD16" s="109" t="str">
        <f t="shared" si="19"/>
        <v/>
      </c>
      <c r="CE16" s="109" t="str">
        <f t="shared" si="19"/>
        <v/>
      </c>
      <c r="CF16" s="109" t="str">
        <f t="shared" si="19"/>
        <v/>
      </c>
      <c r="CG16" s="109" t="str">
        <f t="shared" si="19"/>
        <v/>
      </c>
      <c r="CH16" s="109" t="str">
        <f t="shared" si="19"/>
        <v/>
      </c>
      <c r="CI16" s="109" t="str">
        <f t="shared" si="19"/>
        <v/>
      </c>
      <c r="CJ16" s="109" t="str">
        <f t="shared" si="19"/>
        <v/>
      </c>
      <c r="CK16" s="109" t="str">
        <f t="shared" si="19"/>
        <v/>
      </c>
      <c r="CL16" s="109" t="str">
        <f t="shared" si="20"/>
        <v/>
      </c>
      <c r="CM16" s="109" t="str">
        <f t="shared" si="20"/>
        <v/>
      </c>
      <c r="CN16" s="109" t="str">
        <f t="shared" si="20"/>
        <v/>
      </c>
      <c r="CO16" s="109" t="str">
        <f t="shared" si="20"/>
        <v/>
      </c>
      <c r="CP16" s="109" t="str">
        <f t="shared" si="20"/>
        <v/>
      </c>
      <c r="CQ16" s="109" t="str">
        <f t="shared" si="20"/>
        <v/>
      </c>
      <c r="CR16" s="109" t="str">
        <f t="shared" si="20"/>
        <v/>
      </c>
      <c r="CS16" s="109" t="str">
        <f t="shared" si="20"/>
        <v/>
      </c>
      <c r="CT16" s="109" t="str">
        <f t="shared" si="20"/>
        <v/>
      </c>
      <c r="CU16" s="109" t="str">
        <f t="shared" si="20"/>
        <v/>
      </c>
      <c r="CV16" s="109" t="str">
        <f t="shared" si="21"/>
        <v/>
      </c>
      <c r="CW16" s="109" t="str">
        <f t="shared" si="21"/>
        <v/>
      </c>
      <c r="CX16" s="109" t="str">
        <f t="shared" si="21"/>
        <v/>
      </c>
      <c r="CY16" s="109" t="str">
        <f t="shared" si="21"/>
        <v/>
      </c>
      <c r="CZ16" s="109" t="str">
        <f t="shared" si="21"/>
        <v/>
      </c>
      <c r="DA16" s="109" t="str">
        <f t="shared" si="21"/>
        <v/>
      </c>
      <c r="DB16" s="109" t="str">
        <f t="shared" si="21"/>
        <v/>
      </c>
      <c r="DC16" s="109" t="str">
        <f t="shared" si="21"/>
        <v/>
      </c>
    </row>
    <row r="17" spans="1:107" ht="26.25" customHeight="1" x14ac:dyDescent="0.25">
      <c r="A17" s="92" t="s">
        <v>316</v>
      </c>
      <c r="B17" s="76" t="s">
        <v>355</v>
      </c>
      <c r="C17" s="77" t="s">
        <v>467</v>
      </c>
      <c r="D17" s="77" t="s">
        <v>468</v>
      </c>
      <c r="E17" s="94">
        <v>46116</v>
      </c>
      <c r="F17" s="108">
        <v>4</v>
      </c>
      <c r="G17" s="110">
        <f t="shared" si="0"/>
        <v>46119</v>
      </c>
      <c r="H17" s="102">
        <v>0</v>
      </c>
      <c r="I17" s="97" t="str">
        <f t="shared" ca="1" si="1"/>
        <v>Late</v>
      </c>
      <c r="J17" s="109" t="str">
        <f t="shared" si="12"/>
        <v/>
      </c>
      <c r="K17" s="109" t="str">
        <f t="shared" si="12"/>
        <v/>
      </c>
      <c r="L17" s="109" t="str">
        <f t="shared" si="12"/>
        <v/>
      </c>
      <c r="M17" s="109" t="str">
        <f t="shared" si="12"/>
        <v/>
      </c>
      <c r="N17" s="109" t="str">
        <f t="shared" si="12"/>
        <v/>
      </c>
      <c r="O17" s="109">
        <f t="shared" si="12"/>
        <v>1</v>
      </c>
      <c r="P17" s="109">
        <f t="shared" si="12"/>
        <v>1</v>
      </c>
      <c r="Q17" s="109">
        <f t="shared" si="12"/>
        <v>1</v>
      </c>
      <c r="R17" s="109">
        <f t="shared" si="12"/>
        <v>1</v>
      </c>
      <c r="S17" s="109" t="str">
        <f t="shared" si="12"/>
        <v/>
      </c>
      <c r="T17" s="109" t="str">
        <f t="shared" si="13"/>
        <v/>
      </c>
      <c r="U17" s="109" t="str">
        <f t="shared" si="13"/>
        <v/>
      </c>
      <c r="V17" s="109" t="str">
        <f t="shared" si="13"/>
        <v/>
      </c>
      <c r="W17" s="109" t="str">
        <f t="shared" si="13"/>
        <v/>
      </c>
      <c r="X17" s="109" t="str">
        <f t="shared" si="13"/>
        <v/>
      </c>
      <c r="Y17" s="109" t="str">
        <f t="shared" si="13"/>
        <v/>
      </c>
      <c r="Z17" s="109" t="str">
        <f t="shared" si="13"/>
        <v/>
      </c>
      <c r="AA17" s="109" t="str">
        <f t="shared" si="13"/>
        <v/>
      </c>
      <c r="AB17" s="109" t="str">
        <f t="shared" si="13"/>
        <v/>
      </c>
      <c r="AC17" s="109" t="str">
        <f t="shared" si="13"/>
        <v/>
      </c>
      <c r="AD17" s="109" t="str">
        <f t="shared" si="14"/>
        <v/>
      </c>
      <c r="AE17" s="109" t="str">
        <f t="shared" si="14"/>
        <v/>
      </c>
      <c r="AF17" s="109" t="str">
        <f t="shared" si="14"/>
        <v/>
      </c>
      <c r="AG17" s="109" t="str">
        <f t="shared" si="14"/>
        <v/>
      </c>
      <c r="AH17" s="109" t="str">
        <f t="shared" si="14"/>
        <v/>
      </c>
      <c r="AI17" s="109" t="str">
        <f t="shared" si="14"/>
        <v/>
      </c>
      <c r="AJ17" s="109" t="str">
        <f t="shared" si="14"/>
        <v/>
      </c>
      <c r="AK17" s="109" t="str">
        <f t="shared" si="14"/>
        <v/>
      </c>
      <c r="AL17" s="109" t="str">
        <f t="shared" si="14"/>
        <v/>
      </c>
      <c r="AM17" s="109" t="str">
        <f t="shared" si="14"/>
        <v/>
      </c>
      <c r="AN17" s="109" t="str">
        <f t="shared" si="15"/>
        <v/>
      </c>
      <c r="AO17" s="109" t="str">
        <f t="shared" si="15"/>
        <v/>
      </c>
      <c r="AP17" s="109" t="str">
        <f t="shared" si="15"/>
        <v/>
      </c>
      <c r="AQ17" s="109" t="str">
        <f t="shared" si="15"/>
        <v/>
      </c>
      <c r="AR17" s="109" t="str">
        <f t="shared" si="15"/>
        <v/>
      </c>
      <c r="AS17" s="109" t="str">
        <f t="shared" si="15"/>
        <v/>
      </c>
      <c r="AT17" s="109" t="str">
        <f t="shared" si="15"/>
        <v/>
      </c>
      <c r="AU17" s="109" t="str">
        <f t="shared" si="15"/>
        <v/>
      </c>
      <c r="AV17" s="109" t="str">
        <f t="shared" si="15"/>
        <v/>
      </c>
      <c r="AW17" s="109" t="str">
        <f t="shared" si="15"/>
        <v/>
      </c>
      <c r="AX17" s="109" t="str">
        <f t="shared" si="16"/>
        <v/>
      </c>
      <c r="AY17" s="109" t="str">
        <f t="shared" si="16"/>
        <v/>
      </c>
      <c r="AZ17" s="109" t="str">
        <f t="shared" si="16"/>
        <v/>
      </c>
      <c r="BA17" s="109" t="str">
        <f t="shared" si="16"/>
        <v/>
      </c>
      <c r="BB17" s="109" t="str">
        <f t="shared" si="16"/>
        <v/>
      </c>
      <c r="BC17" s="109" t="str">
        <f t="shared" si="16"/>
        <v/>
      </c>
      <c r="BD17" s="109" t="str">
        <f t="shared" si="16"/>
        <v/>
      </c>
      <c r="BE17" s="109" t="str">
        <f t="shared" si="16"/>
        <v/>
      </c>
      <c r="BF17" s="109" t="str">
        <f t="shared" si="16"/>
        <v/>
      </c>
      <c r="BG17" s="109" t="str">
        <f t="shared" si="16"/>
        <v/>
      </c>
      <c r="BH17" s="109" t="str">
        <f t="shared" si="17"/>
        <v/>
      </c>
      <c r="BI17" s="109" t="str">
        <f t="shared" si="17"/>
        <v/>
      </c>
      <c r="BJ17" s="109" t="str">
        <f t="shared" si="17"/>
        <v/>
      </c>
      <c r="BK17" s="109" t="str">
        <f t="shared" si="17"/>
        <v/>
      </c>
      <c r="BL17" s="109" t="str">
        <f t="shared" si="17"/>
        <v/>
      </c>
      <c r="BM17" s="109" t="str">
        <f t="shared" si="17"/>
        <v/>
      </c>
      <c r="BN17" s="109" t="str">
        <f t="shared" si="17"/>
        <v/>
      </c>
      <c r="BO17" s="109" t="str">
        <f t="shared" si="17"/>
        <v/>
      </c>
      <c r="BP17" s="109" t="str">
        <f t="shared" si="17"/>
        <v/>
      </c>
      <c r="BQ17" s="109" t="str">
        <f t="shared" si="17"/>
        <v/>
      </c>
      <c r="BR17" s="109" t="str">
        <f t="shared" si="18"/>
        <v/>
      </c>
      <c r="BS17" s="109" t="str">
        <f t="shared" si="18"/>
        <v/>
      </c>
      <c r="BT17" s="109" t="str">
        <f t="shared" si="18"/>
        <v/>
      </c>
      <c r="BU17" s="109" t="str">
        <f t="shared" si="18"/>
        <v/>
      </c>
      <c r="BV17" s="109" t="str">
        <f t="shared" si="18"/>
        <v/>
      </c>
      <c r="BW17" s="109" t="str">
        <f t="shared" si="18"/>
        <v/>
      </c>
      <c r="BX17" s="109" t="str">
        <f t="shared" si="18"/>
        <v/>
      </c>
      <c r="BY17" s="109" t="str">
        <f t="shared" si="18"/>
        <v/>
      </c>
      <c r="BZ17" s="109" t="str">
        <f t="shared" si="18"/>
        <v/>
      </c>
      <c r="CA17" s="109" t="str">
        <f t="shared" si="18"/>
        <v/>
      </c>
      <c r="CB17" s="109" t="str">
        <f t="shared" si="19"/>
        <v/>
      </c>
      <c r="CC17" s="109" t="str">
        <f t="shared" si="19"/>
        <v/>
      </c>
      <c r="CD17" s="109" t="str">
        <f t="shared" si="19"/>
        <v/>
      </c>
      <c r="CE17" s="109" t="str">
        <f t="shared" si="19"/>
        <v/>
      </c>
      <c r="CF17" s="109" t="str">
        <f t="shared" si="19"/>
        <v/>
      </c>
      <c r="CG17" s="109" t="str">
        <f t="shared" si="19"/>
        <v/>
      </c>
      <c r="CH17" s="109" t="str">
        <f t="shared" si="19"/>
        <v/>
      </c>
      <c r="CI17" s="109" t="str">
        <f t="shared" si="19"/>
        <v/>
      </c>
      <c r="CJ17" s="109" t="str">
        <f t="shared" si="19"/>
        <v/>
      </c>
      <c r="CK17" s="109" t="str">
        <f t="shared" si="19"/>
        <v/>
      </c>
      <c r="CL17" s="109" t="str">
        <f t="shared" si="20"/>
        <v/>
      </c>
      <c r="CM17" s="109" t="str">
        <f t="shared" si="20"/>
        <v/>
      </c>
      <c r="CN17" s="109" t="str">
        <f t="shared" si="20"/>
        <v/>
      </c>
      <c r="CO17" s="109" t="str">
        <f t="shared" si="20"/>
        <v/>
      </c>
      <c r="CP17" s="109" t="str">
        <f t="shared" si="20"/>
        <v/>
      </c>
      <c r="CQ17" s="109" t="str">
        <f t="shared" si="20"/>
        <v/>
      </c>
      <c r="CR17" s="109" t="str">
        <f t="shared" si="20"/>
        <v/>
      </c>
      <c r="CS17" s="109" t="str">
        <f t="shared" si="20"/>
        <v/>
      </c>
      <c r="CT17" s="109" t="str">
        <f t="shared" si="20"/>
        <v/>
      </c>
      <c r="CU17" s="109" t="str">
        <f t="shared" si="20"/>
        <v/>
      </c>
      <c r="CV17" s="109" t="str">
        <f t="shared" si="21"/>
        <v/>
      </c>
      <c r="CW17" s="109" t="str">
        <f t="shared" si="21"/>
        <v/>
      </c>
      <c r="CX17" s="109" t="str">
        <f t="shared" si="21"/>
        <v/>
      </c>
      <c r="CY17" s="109" t="str">
        <f t="shared" si="21"/>
        <v/>
      </c>
      <c r="CZ17" s="109" t="str">
        <f t="shared" si="21"/>
        <v/>
      </c>
      <c r="DA17" s="109" t="str">
        <f t="shared" si="21"/>
        <v/>
      </c>
      <c r="DB17" s="109" t="str">
        <f t="shared" si="21"/>
        <v/>
      </c>
      <c r="DC17" s="109" t="str">
        <f t="shared" si="21"/>
        <v/>
      </c>
    </row>
    <row r="18" spans="1:107" ht="26.25" customHeight="1" x14ac:dyDescent="0.25">
      <c r="A18" s="92" t="s">
        <v>316</v>
      </c>
      <c r="B18" s="76" t="s">
        <v>355</v>
      </c>
      <c r="C18" s="77" t="s">
        <v>469</v>
      </c>
      <c r="D18" s="77" t="s">
        <v>469</v>
      </c>
      <c r="E18" s="94">
        <v>46123</v>
      </c>
      <c r="F18" s="108">
        <v>2</v>
      </c>
      <c r="G18" s="110">
        <f t="shared" si="0"/>
        <v>46124</v>
      </c>
      <c r="H18" s="102">
        <v>0</v>
      </c>
      <c r="I18" s="97" t="str">
        <f t="shared" ca="1" si="1"/>
        <v>Late</v>
      </c>
      <c r="J18" s="109" t="str">
        <f t="shared" si="12"/>
        <v/>
      </c>
      <c r="K18" s="109" t="str">
        <f t="shared" si="12"/>
        <v/>
      </c>
      <c r="L18" s="109" t="str">
        <f t="shared" si="12"/>
        <v/>
      </c>
      <c r="M18" s="109" t="str">
        <f t="shared" si="12"/>
        <v/>
      </c>
      <c r="N18" s="109" t="str">
        <f t="shared" si="12"/>
        <v/>
      </c>
      <c r="O18" s="109" t="str">
        <f t="shared" si="12"/>
        <v/>
      </c>
      <c r="P18" s="109" t="str">
        <f t="shared" si="12"/>
        <v/>
      </c>
      <c r="Q18" s="109" t="str">
        <f t="shared" si="12"/>
        <v/>
      </c>
      <c r="R18" s="109" t="str">
        <f t="shared" si="12"/>
        <v/>
      </c>
      <c r="S18" s="109" t="str">
        <f t="shared" si="12"/>
        <v/>
      </c>
      <c r="T18" s="109" t="str">
        <f t="shared" si="13"/>
        <v/>
      </c>
      <c r="U18" s="109" t="str">
        <f t="shared" si="13"/>
        <v/>
      </c>
      <c r="V18" s="109">
        <f t="shared" si="13"/>
        <v>1</v>
      </c>
      <c r="W18" s="109">
        <f t="shared" si="13"/>
        <v>1</v>
      </c>
      <c r="X18" s="109" t="str">
        <f t="shared" si="13"/>
        <v/>
      </c>
      <c r="Y18" s="109" t="str">
        <f t="shared" si="13"/>
        <v/>
      </c>
      <c r="Z18" s="109" t="str">
        <f t="shared" si="13"/>
        <v/>
      </c>
      <c r="AA18" s="109" t="str">
        <f t="shared" si="13"/>
        <v/>
      </c>
      <c r="AB18" s="109" t="str">
        <f t="shared" si="13"/>
        <v/>
      </c>
      <c r="AC18" s="109" t="str">
        <f t="shared" si="13"/>
        <v/>
      </c>
      <c r="AD18" s="109" t="str">
        <f t="shared" si="14"/>
        <v/>
      </c>
      <c r="AE18" s="109" t="str">
        <f t="shared" si="14"/>
        <v/>
      </c>
      <c r="AF18" s="109" t="str">
        <f t="shared" si="14"/>
        <v/>
      </c>
      <c r="AG18" s="109" t="str">
        <f t="shared" si="14"/>
        <v/>
      </c>
      <c r="AH18" s="109" t="str">
        <f t="shared" si="14"/>
        <v/>
      </c>
      <c r="AI18" s="109" t="str">
        <f t="shared" si="14"/>
        <v/>
      </c>
      <c r="AJ18" s="109" t="str">
        <f t="shared" si="14"/>
        <v/>
      </c>
      <c r="AK18" s="109" t="str">
        <f t="shared" si="14"/>
        <v/>
      </c>
      <c r="AL18" s="109" t="str">
        <f t="shared" si="14"/>
        <v/>
      </c>
      <c r="AM18" s="109" t="str">
        <f t="shared" si="14"/>
        <v/>
      </c>
      <c r="AN18" s="109" t="str">
        <f t="shared" si="15"/>
        <v/>
      </c>
      <c r="AO18" s="109" t="str">
        <f t="shared" si="15"/>
        <v/>
      </c>
      <c r="AP18" s="109" t="str">
        <f t="shared" si="15"/>
        <v/>
      </c>
      <c r="AQ18" s="109" t="str">
        <f t="shared" si="15"/>
        <v/>
      </c>
      <c r="AR18" s="109" t="str">
        <f t="shared" si="15"/>
        <v/>
      </c>
      <c r="AS18" s="109" t="str">
        <f t="shared" si="15"/>
        <v/>
      </c>
      <c r="AT18" s="109" t="str">
        <f t="shared" si="15"/>
        <v/>
      </c>
      <c r="AU18" s="109" t="str">
        <f t="shared" si="15"/>
        <v/>
      </c>
      <c r="AV18" s="109" t="str">
        <f t="shared" si="15"/>
        <v/>
      </c>
      <c r="AW18" s="109" t="str">
        <f t="shared" si="15"/>
        <v/>
      </c>
      <c r="AX18" s="109" t="str">
        <f t="shared" si="16"/>
        <v/>
      </c>
      <c r="AY18" s="109" t="str">
        <f t="shared" si="16"/>
        <v/>
      </c>
      <c r="AZ18" s="109" t="str">
        <f t="shared" si="16"/>
        <v/>
      </c>
      <c r="BA18" s="109" t="str">
        <f t="shared" si="16"/>
        <v/>
      </c>
      <c r="BB18" s="109" t="str">
        <f t="shared" si="16"/>
        <v/>
      </c>
      <c r="BC18" s="109" t="str">
        <f t="shared" si="16"/>
        <v/>
      </c>
      <c r="BD18" s="109" t="str">
        <f t="shared" si="16"/>
        <v/>
      </c>
      <c r="BE18" s="109" t="str">
        <f t="shared" si="16"/>
        <v/>
      </c>
      <c r="BF18" s="109" t="str">
        <f t="shared" si="16"/>
        <v/>
      </c>
      <c r="BG18" s="109" t="str">
        <f t="shared" si="16"/>
        <v/>
      </c>
      <c r="BH18" s="109" t="str">
        <f t="shared" si="17"/>
        <v/>
      </c>
      <c r="BI18" s="109" t="str">
        <f t="shared" si="17"/>
        <v/>
      </c>
      <c r="BJ18" s="109" t="str">
        <f t="shared" si="17"/>
        <v/>
      </c>
      <c r="BK18" s="109" t="str">
        <f t="shared" si="17"/>
        <v/>
      </c>
      <c r="BL18" s="109" t="str">
        <f t="shared" si="17"/>
        <v/>
      </c>
      <c r="BM18" s="109" t="str">
        <f t="shared" si="17"/>
        <v/>
      </c>
      <c r="BN18" s="109" t="str">
        <f t="shared" si="17"/>
        <v/>
      </c>
      <c r="BO18" s="109" t="str">
        <f t="shared" si="17"/>
        <v/>
      </c>
      <c r="BP18" s="109" t="str">
        <f t="shared" si="17"/>
        <v/>
      </c>
      <c r="BQ18" s="109" t="str">
        <f t="shared" si="17"/>
        <v/>
      </c>
      <c r="BR18" s="109" t="str">
        <f t="shared" si="18"/>
        <v/>
      </c>
      <c r="BS18" s="109" t="str">
        <f t="shared" si="18"/>
        <v/>
      </c>
      <c r="BT18" s="109" t="str">
        <f t="shared" si="18"/>
        <v/>
      </c>
      <c r="BU18" s="109" t="str">
        <f t="shared" si="18"/>
        <v/>
      </c>
      <c r="BV18" s="109" t="str">
        <f t="shared" si="18"/>
        <v/>
      </c>
      <c r="BW18" s="109" t="str">
        <f t="shared" si="18"/>
        <v/>
      </c>
      <c r="BX18" s="109" t="str">
        <f t="shared" si="18"/>
        <v/>
      </c>
      <c r="BY18" s="109" t="str">
        <f t="shared" si="18"/>
        <v/>
      </c>
      <c r="BZ18" s="109" t="str">
        <f t="shared" si="18"/>
        <v/>
      </c>
      <c r="CA18" s="109" t="str">
        <f t="shared" si="18"/>
        <v/>
      </c>
      <c r="CB18" s="109" t="str">
        <f t="shared" si="19"/>
        <v/>
      </c>
      <c r="CC18" s="109" t="str">
        <f t="shared" si="19"/>
        <v/>
      </c>
      <c r="CD18" s="109" t="str">
        <f t="shared" si="19"/>
        <v/>
      </c>
      <c r="CE18" s="109" t="str">
        <f t="shared" si="19"/>
        <v/>
      </c>
      <c r="CF18" s="109" t="str">
        <f t="shared" si="19"/>
        <v/>
      </c>
      <c r="CG18" s="109" t="str">
        <f t="shared" si="19"/>
        <v/>
      </c>
      <c r="CH18" s="109" t="str">
        <f t="shared" si="19"/>
        <v/>
      </c>
      <c r="CI18" s="109" t="str">
        <f t="shared" si="19"/>
        <v/>
      </c>
      <c r="CJ18" s="109" t="str">
        <f t="shared" si="19"/>
        <v/>
      </c>
      <c r="CK18" s="109" t="str">
        <f t="shared" si="19"/>
        <v/>
      </c>
      <c r="CL18" s="109" t="str">
        <f t="shared" si="20"/>
        <v/>
      </c>
      <c r="CM18" s="109" t="str">
        <f t="shared" si="20"/>
        <v/>
      </c>
      <c r="CN18" s="109" t="str">
        <f t="shared" si="20"/>
        <v/>
      </c>
      <c r="CO18" s="109" t="str">
        <f t="shared" si="20"/>
        <v/>
      </c>
      <c r="CP18" s="109" t="str">
        <f t="shared" si="20"/>
        <v/>
      </c>
      <c r="CQ18" s="109" t="str">
        <f t="shared" si="20"/>
        <v/>
      </c>
      <c r="CR18" s="109" t="str">
        <f t="shared" si="20"/>
        <v/>
      </c>
      <c r="CS18" s="109" t="str">
        <f t="shared" si="20"/>
        <v/>
      </c>
      <c r="CT18" s="109" t="str">
        <f t="shared" si="20"/>
        <v/>
      </c>
      <c r="CU18" s="109" t="str">
        <f t="shared" si="20"/>
        <v/>
      </c>
      <c r="CV18" s="109" t="str">
        <f t="shared" si="21"/>
        <v/>
      </c>
      <c r="CW18" s="109" t="str">
        <f t="shared" si="21"/>
        <v/>
      </c>
      <c r="CX18" s="109" t="str">
        <f t="shared" si="21"/>
        <v/>
      </c>
      <c r="CY18" s="109" t="str">
        <f t="shared" si="21"/>
        <v/>
      </c>
      <c r="CZ18" s="109" t="str">
        <f t="shared" si="21"/>
        <v/>
      </c>
      <c r="DA18" s="109" t="str">
        <f t="shared" si="21"/>
        <v/>
      </c>
      <c r="DB18" s="109" t="str">
        <f t="shared" si="21"/>
        <v/>
      </c>
      <c r="DC18" s="109" t="str">
        <f t="shared" si="21"/>
        <v/>
      </c>
    </row>
    <row r="19" spans="1:107" ht="26.25" customHeight="1" x14ac:dyDescent="0.25">
      <c r="A19" s="92" t="s">
        <v>316</v>
      </c>
      <c r="B19" s="76" t="s">
        <v>355</v>
      </c>
      <c r="C19" s="77" t="s">
        <v>472</v>
      </c>
      <c r="D19" s="77" t="s">
        <v>472</v>
      </c>
      <c r="E19" s="94">
        <v>46127</v>
      </c>
      <c r="F19" s="108">
        <v>4</v>
      </c>
      <c r="G19" s="110">
        <f t="shared" si="0"/>
        <v>46130</v>
      </c>
      <c r="H19" s="102">
        <v>0</v>
      </c>
      <c r="I19" s="97" t="str">
        <f t="shared" ca="1" si="1"/>
        <v>Late</v>
      </c>
      <c r="J19" s="109" t="str">
        <f t="shared" si="12"/>
        <v/>
      </c>
      <c r="K19" s="109" t="str">
        <f t="shared" si="12"/>
        <v/>
      </c>
      <c r="L19" s="109" t="str">
        <f t="shared" si="12"/>
        <v/>
      </c>
      <c r="M19" s="109" t="str">
        <f t="shared" si="12"/>
        <v/>
      </c>
      <c r="N19" s="109" t="str">
        <f t="shared" si="12"/>
        <v/>
      </c>
      <c r="O19" s="109" t="str">
        <f t="shared" si="12"/>
        <v/>
      </c>
      <c r="P19" s="109" t="str">
        <f t="shared" si="12"/>
        <v/>
      </c>
      <c r="Q19" s="109" t="str">
        <f t="shared" si="12"/>
        <v/>
      </c>
      <c r="R19" s="109" t="str">
        <f t="shared" si="12"/>
        <v/>
      </c>
      <c r="S19" s="109" t="str">
        <f t="shared" si="12"/>
        <v/>
      </c>
      <c r="T19" s="109" t="str">
        <f t="shared" si="13"/>
        <v/>
      </c>
      <c r="U19" s="109" t="str">
        <f t="shared" si="13"/>
        <v/>
      </c>
      <c r="V19" s="109" t="str">
        <f t="shared" si="13"/>
        <v/>
      </c>
      <c r="W19" s="109" t="str">
        <f t="shared" si="13"/>
        <v/>
      </c>
      <c r="X19" s="109" t="str">
        <f t="shared" si="13"/>
        <v/>
      </c>
      <c r="Y19" s="109" t="str">
        <f t="shared" si="13"/>
        <v/>
      </c>
      <c r="Z19" s="109">
        <f t="shared" si="13"/>
        <v>1</v>
      </c>
      <c r="AA19" s="109">
        <f t="shared" si="13"/>
        <v>1</v>
      </c>
      <c r="AB19" s="109">
        <f t="shared" si="13"/>
        <v>1</v>
      </c>
      <c r="AC19" s="109">
        <f t="shared" si="13"/>
        <v>1</v>
      </c>
      <c r="AD19" s="109" t="str">
        <f t="shared" si="14"/>
        <v/>
      </c>
      <c r="AE19" s="109" t="str">
        <f t="shared" si="14"/>
        <v/>
      </c>
      <c r="AF19" s="109" t="str">
        <f t="shared" si="14"/>
        <v/>
      </c>
      <c r="AG19" s="109" t="str">
        <f t="shared" si="14"/>
        <v/>
      </c>
      <c r="AH19" s="109" t="str">
        <f t="shared" si="14"/>
        <v/>
      </c>
      <c r="AI19" s="109" t="str">
        <f t="shared" si="14"/>
        <v/>
      </c>
      <c r="AJ19" s="109" t="str">
        <f t="shared" si="14"/>
        <v/>
      </c>
      <c r="AK19" s="109" t="str">
        <f t="shared" si="14"/>
        <v/>
      </c>
      <c r="AL19" s="109" t="str">
        <f t="shared" si="14"/>
        <v/>
      </c>
      <c r="AM19" s="109" t="str">
        <f t="shared" si="14"/>
        <v/>
      </c>
      <c r="AN19" s="109" t="str">
        <f t="shared" si="15"/>
        <v/>
      </c>
      <c r="AO19" s="109" t="str">
        <f t="shared" si="15"/>
        <v/>
      </c>
      <c r="AP19" s="109" t="str">
        <f t="shared" si="15"/>
        <v/>
      </c>
      <c r="AQ19" s="109" t="str">
        <f t="shared" si="15"/>
        <v/>
      </c>
      <c r="AR19" s="109" t="str">
        <f t="shared" si="15"/>
        <v/>
      </c>
      <c r="AS19" s="109" t="str">
        <f t="shared" si="15"/>
        <v/>
      </c>
      <c r="AT19" s="109" t="str">
        <f t="shared" si="15"/>
        <v/>
      </c>
      <c r="AU19" s="109" t="str">
        <f t="shared" si="15"/>
        <v/>
      </c>
      <c r="AV19" s="109" t="str">
        <f t="shared" si="15"/>
        <v/>
      </c>
      <c r="AW19" s="109" t="str">
        <f t="shared" si="15"/>
        <v/>
      </c>
      <c r="AX19" s="109" t="str">
        <f t="shared" si="16"/>
        <v/>
      </c>
      <c r="AY19" s="109" t="str">
        <f t="shared" si="16"/>
        <v/>
      </c>
      <c r="AZ19" s="109" t="str">
        <f t="shared" si="16"/>
        <v/>
      </c>
      <c r="BA19" s="109" t="str">
        <f t="shared" si="16"/>
        <v/>
      </c>
      <c r="BB19" s="109" t="str">
        <f t="shared" si="16"/>
        <v/>
      </c>
      <c r="BC19" s="109" t="str">
        <f t="shared" si="16"/>
        <v/>
      </c>
      <c r="BD19" s="109" t="str">
        <f t="shared" si="16"/>
        <v/>
      </c>
      <c r="BE19" s="109" t="str">
        <f t="shared" si="16"/>
        <v/>
      </c>
      <c r="BF19" s="109" t="str">
        <f t="shared" si="16"/>
        <v/>
      </c>
      <c r="BG19" s="109" t="str">
        <f t="shared" si="16"/>
        <v/>
      </c>
      <c r="BH19" s="109" t="str">
        <f t="shared" si="17"/>
        <v/>
      </c>
      <c r="BI19" s="109" t="str">
        <f t="shared" si="17"/>
        <v/>
      </c>
      <c r="BJ19" s="109" t="str">
        <f t="shared" si="17"/>
        <v/>
      </c>
      <c r="BK19" s="109" t="str">
        <f t="shared" si="17"/>
        <v/>
      </c>
      <c r="BL19" s="109" t="str">
        <f t="shared" si="17"/>
        <v/>
      </c>
      <c r="BM19" s="109" t="str">
        <f t="shared" si="17"/>
        <v/>
      </c>
      <c r="BN19" s="109" t="str">
        <f t="shared" si="17"/>
        <v/>
      </c>
      <c r="BO19" s="109" t="str">
        <f t="shared" si="17"/>
        <v/>
      </c>
      <c r="BP19" s="109" t="str">
        <f t="shared" si="17"/>
        <v/>
      </c>
      <c r="BQ19" s="109" t="str">
        <f t="shared" si="17"/>
        <v/>
      </c>
      <c r="BR19" s="109" t="str">
        <f t="shared" si="18"/>
        <v/>
      </c>
      <c r="BS19" s="109" t="str">
        <f t="shared" si="18"/>
        <v/>
      </c>
      <c r="BT19" s="109" t="str">
        <f t="shared" si="18"/>
        <v/>
      </c>
      <c r="BU19" s="109" t="str">
        <f t="shared" si="18"/>
        <v/>
      </c>
      <c r="BV19" s="109" t="str">
        <f t="shared" si="18"/>
        <v/>
      </c>
      <c r="BW19" s="109" t="str">
        <f t="shared" si="18"/>
        <v/>
      </c>
      <c r="BX19" s="109" t="str">
        <f t="shared" si="18"/>
        <v/>
      </c>
      <c r="BY19" s="109" t="str">
        <f t="shared" si="18"/>
        <v/>
      </c>
      <c r="BZ19" s="109" t="str">
        <f t="shared" si="18"/>
        <v/>
      </c>
      <c r="CA19" s="109" t="str">
        <f t="shared" si="18"/>
        <v/>
      </c>
      <c r="CB19" s="109" t="str">
        <f t="shared" si="19"/>
        <v/>
      </c>
      <c r="CC19" s="109" t="str">
        <f t="shared" si="19"/>
        <v/>
      </c>
      <c r="CD19" s="109" t="str">
        <f t="shared" si="19"/>
        <v/>
      </c>
      <c r="CE19" s="109" t="str">
        <f t="shared" si="19"/>
        <v/>
      </c>
      <c r="CF19" s="109" t="str">
        <f t="shared" si="19"/>
        <v/>
      </c>
      <c r="CG19" s="109" t="str">
        <f t="shared" si="19"/>
        <v/>
      </c>
      <c r="CH19" s="109" t="str">
        <f t="shared" si="19"/>
        <v/>
      </c>
      <c r="CI19" s="109" t="str">
        <f t="shared" si="19"/>
        <v/>
      </c>
      <c r="CJ19" s="109" t="str">
        <f t="shared" si="19"/>
        <v/>
      </c>
      <c r="CK19" s="109" t="str">
        <f t="shared" si="19"/>
        <v/>
      </c>
      <c r="CL19" s="109" t="str">
        <f t="shared" si="20"/>
        <v/>
      </c>
      <c r="CM19" s="109" t="str">
        <f t="shared" si="20"/>
        <v/>
      </c>
      <c r="CN19" s="109" t="str">
        <f t="shared" si="20"/>
        <v/>
      </c>
      <c r="CO19" s="109" t="str">
        <f t="shared" si="20"/>
        <v/>
      </c>
      <c r="CP19" s="109" t="str">
        <f t="shared" si="20"/>
        <v/>
      </c>
      <c r="CQ19" s="109" t="str">
        <f t="shared" si="20"/>
        <v/>
      </c>
      <c r="CR19" s="109" t="str">
        <f t="shared" si="20"/>
        <v/>
      </c>
      <c r="CS19" s="109" t="str">
        <f t="shared" si="20"/>
        <v/>
      </c>
      <c r="CT19" s="109" t="str">
        <f t="shared" si="20"/>
        <v/>
      </c>
      <c r="CU19" s="109" t="str">
        <f t="shared" si="20"/>
        <v/>
      </c>
      <c r="CV19" s="109" t="str">
        <f t="shared" si="21"/>
        <v/>
      </c>
      <c r="CW19" s="109" t="str">
        <f t="shared" si="21"/>
        <v/>
      </c>
      <c r="CX19" s="109" t="str">
        <f t="shared" si="21"/>
        <v/>
      </c>
      <c r="CY19" s="109" t="str">
        <f t="shared" si="21"/>
        <v/>
      </c>
      <c r="CZ19" s="109" t="str">
        <f t="shared" si="21"/>
        <v/>
      </c>
      <c r="DA19" s="109" t="str">
        <f t="shared" si="21"/>
        <v/>
      </c>
      <c r="DB19" s="109" t="str">
        <f t="shared" si="21"/>
        <v/>
      </c>
      <c r="DC19" s="109" t="str">
        <f t="shared" si="21"/>
        <v/>
      </c>
    </row>
    <row r="20" spans="1:107" ht="26.25" customHeight="1" x14ac:dyDescent="0.25">
      <c r="A20" s="92" t="s">
        <v>316</v>
      </c>
      <c r="B20" s="76" t="s">
        <v>355</v>
      </c>
      <c r="C20" s="77" t="s">
        <v>474</v>
      </c>
      <c r="D20" s="77" t="s">
        <v>475</v>
      </c>
      <c r="E20" s="94">
        <v>46133</v>
      </c>
      <c r="F20" s="108">
        <v>5</v>
      </c>
      <c r="G20" s="110">
        <f t="shared" si="0"/>
        <v>46137</v>
      </c>
      <c r="H20" s="102">
        <v>0</v>
      </c>
      <c r="I20" s="97" t="str">
        <f t="shared" ca="1" si="1"/>
        <v>Late</v>
      </c>
      <c r="J20" s="109" t="str">
        <f t="shared" si="12"/>
        <v/>
      </c>
      <c r="K20" s="109" t="str">
        <f t="shared" si="12"/>
        <v/>
      </c>
      <c r="L20" s="109" t="str">
        <f t="shared" si="12"/>
        <v/>
      </c>
      <c r="M20" s="109" t="str">
        <f t="shared" si="12"/>
        <v/>
      </c>
      <c r="N20" s="109" t="str">
        <f t="shared" si="12"/>
        <v/>
      </c>
      <c r="O20" s="109" t="str">
        <f t="shared" si="12"/>
        <v/>
      </c>
      <c r="P20" s="109" t="str">
        <f t="shared" si="12"/>
        <v/>
      </c>
      <c r="Q20" s="109" t="str">
        <f t="shared" si="12"/>
        <v/>
      </c>
      <c r="R20" s="109" t="str">
        <f t="shared" si="12"/>
        <v/>
      </c>
      <c r="S20" s="109" t="str">
        <f t="shared" si="12"/>
        <v/>
      </c>
      <c r="T20" s="109" t="str">
        <f t="shared" si="13"/>
        <v/>
      </c>
      <c r="U20" s="109" t="str">
        <f t="shared" si="13"/>
        <v/>
      </c>
      <c r="V20" s="109" t="str">
        <f t="shared" si="13"/>
        <v/>
      </c>
      <c r="W20" s="109" t="str">
        <f t="shared" si="13"/>
        <v/>
      </c>
      <c r="X20" s="109" t="str">
        <f t="shared" si="13"/>
        <v/>
      </c>
      <c r="Y20" s="109" t="str">
        <f t="shared" si="13"/>
        <v/>
      </c>
      <c r="Z20" s="109" t="str">
        <f t="shared" si="13"/>
        <v/>
      </c>
      <c r="AA20" s="109" t="str">
        <f t="shared" si="13"/>
        <v/>
      </c>
      <c r="AB20" s="109" t="str">
        <f t="shared" si="13"/>
        <v/>
      </c>
      <c r="AC20" s="109" t="str">
        <f t="shared" si="13"/>
        <v/>
      </c>
      <c r="AD20" s="109" t="str">
        <f t="shared" si="14"/>
        <v/>
      </c>
      <c r="AE20" s="109" t="str">
        <f t="shared" si="14"/>
        <v/>
      </c>
      <c r="AF20" s="109">
        <f t="shared" si="14"/>
        <v>1</v>
      </c>
      <c r="AG20" s="109">
        <f t="shared" si="14"/>
        <v>1</v>
      </c>
      <c r="AH20" s="109">
        <f t="shared" si="14"/>
        <v>1</v>
      </c>
      <c r="AI20" s="109">
        <f t="shared" si="14"/>
        <v>1</v>
      </c>
      <c r="AJ20" s="109">
        <f t="shared" si="14"/>
        <v>1</v>
      </c>
      <c r="AK20" s="109" t="str">
        <f t="shared" si="14"/>
        <v/>
      </c>
      <c r="AL20" s="109" t="str">
        <f t="shared" si="14"/>
        <v/>
      </c>
      <c r="AM20" s="109" t="str">
        <f t="shared" si="14"/>
        <v/>
      </c>
      <c r="AN20" s="109" t="str">
        <f t="shared" si="15"/>
        <v/>
      </c>
      <c r="AO20" s="109" t="str">
        <f t="shared" si="15"/>
        <v/>
      </c>
      <c r="AP20" s="109" t="str">
        <f t="shared" si="15"/>
        <v/>
      </c>
      <c r="AQ20" s="109" t="str">
        <f t="shared" si="15"/>
        <v/>
      </c>
      <c r="AR20" s="109" t="str">
        <f t="shared" si="15"/>
        <v/>
      </c>
      <c r="AS20" s="109" t="str">
        <f t="shared" si="15"/>
        <v/>
      </c>
      <c r="AT20" s="109" t="str">
        <f t="shared" si="15"/>
        <v/>
      </c>
      <c r="AU20" s="109" t="str">
        <f t="shared" si="15"/>
        <v/>
      </c>
      <c r="AV20" s="109" t="str">
        <f t="shared" si="15"/>
        <v/>
      </c>
      <c r="AW20" s="109" t="str">
        <f t="shared" si="15"/>
        <v/>
      </c>
      <c r="AX20" s="109" t="str">
        <f t="shared" si="16"/>
        <v/>
      </c>
      <c r="AY20" s="109" t="str">
        <f t="shared" si="16"/>
        <v/>
      </c>
      <c r="AZ20" s="109" t="str">
        <f t="shared" si="16"/>
        <v/>
      </c>
      <c r="BA20" s="109" t="str">
        <f t="shared" si="16"/>
        <v/>
      </c>
      <c r="BB20" s="109" t="str">
        <f t="shared" si="16"/>
        <v/>
      </c>
      <c r="BC20" s="109" t="str">
        <f t="shared" si="16"/>
        <v/>
      </c>
      <c r="BD20" s="109" t="str">
        <f t="shared" si="16"/>
        <v/>
      </c>
      <c r="BE20" s="109" t="str">
        <f t="shared" si="16"/>
        <v/>
      </c>
      <c r="BF20" s="109" t="str">
        <f t="shared" si="16"/>
        <v/>
      </c>
      <c r="BG20" s="109" t="str">
        <f t="shared" si="16"/>
        <v/>
      </c>
      <c r="BH20" s="109" t="str">
        <f t="shared" si="17"/>
        <v/>
      </c>
      <c r="BI20" s="109" t="str">
        <f t="shared" si="17"/>
        <v/>
      </c>
      <c r="BJ20" s="109" t="str">
        <f t="shared" si="17"/>
        <v/>
      </c>
      <c r="BK20" s="109" t="str">
        <f t="shared" si="17"/>
        <v/>
      </c>
      <c r="BL20" s="109" t="str">
        <f t="shared" si="17"/>
        <v/>
      </c>
      <c r="BM20" s="109" t="str">
        <f t="shared" si="17"/>
        <v/>
      </c>
      <c r="BN20" s="109" t="str">
        <f t="shared" si="17"/>
        <v/>
      </c>
      <c r="BO20" s="109" t="str">
        <f t="shared" si="17"/>
        <v/>
      </c>
      <c r="BP20" s="109" t="str">
        <f t="shared" si="17"/>
        <v/>
      </c>
      <c r="BQ20" s="109" t="str">
        <f t="shared" si="17"/>
        <v/>
      </c>
      <c r="BR20" s="109" t="str">
        <f t="shared" si="18"/>
        <v/>
      </c>
      <c r="BS20" s="109" t="str">
        <f t="shared" si="18"/>
        <v/>
      </c>
      <c r="BT20" s="109" t="str">
        <f t="shared" si="18"/>
        <v/>
      </c>
      <c r="BU20" s="109" t="str">
        <f t="shared" si="18"/>
        <v/>
      </c>
      <c r="BV20" s="109" t="str">
        <f t="shared" si="18"/>
        <v/>
      </c>
      <c r="BW20" s="109" t="str">
        <f t="shared" si="18"/>
        <v/>
      </c>
      <c r="BX20" s="109" t="str">
        <f t="shared" si="18"/>
        <v/>
      </c>
      <c r="BY20" s="109" t="str">
        <f t="shared" si="18"/>
        <v/>
      </c>
      <c r="BZ20" s="109" t="str">
        <f t="shared" si="18"/>
        <v/>
      </c>
      <c r="CA20" s="109" t="str">
        <f t="shared" si="18"/>
        <v/>
      </c>
      <c r="CB20" s="109" t="str">
        <f t="shared" si="19"/>
        <v/>
      </c>
      <c r="CC20" s="109" t="str">
        <f t="shared" si="19"/>
        <v/>
      </c>
      <c r="CD20" s="109" t="str">
        <f t="shared" si="19"/>
        <v/>
      </c>
      <c r="CE20" s="109" t="str">
        <f t="shared" si="19"/>
        <v/>
      </c>
      <c r="CF20" s="109" t="str">
        <f t="shared" si="19"/>
        <v/>
      </c>
      <c r="CG20" s="109" t="str">
        <f t="shared" si="19"/>
        <v/>
      </c>
      <c r="CH20" s="109" t="str">
        <f t="shared" si="19"/>
        <v/>
      </c>
      <c r="CI20" s="109" t="str">
        <f t="shared" si="19"/>
        <v/>
      </c>
      <c r="CJ20" s="109" t="str">
        <f t="shared" si="19"/>
        <v/>
      </c>
      <c r="CK20" s="109" t="str">
        <f t="shared" si="19"/>
        <v/>
      </c>
      <c r="CL20" s="109" t="str">
        <f t="shared" si="20"/>
        <v/>
      </c>
      <c r="CM20" s="109" t="str">
        <f t="shared" si="20"/>
        <v/>
      </c>
      <c r="CN20" s="109" t="str">
        <f t="shared" si="20"/>
        <v/>
      </c>
      <c r="CO20" s="109" t="str">
        <f t="shared" si="20"/>
        <v/>
      </c>
      <c r="CP20" s="109" t="str">
        <f t="shared" si="20"/>
        <v/>
      </c>
      <c r="CQ20" s="109" t="str">
        <f t="shared" si="20"/>
        <v/>
      </c>
      <c r="CR20" s="109" t="str">
        <f t="shared" si="20"/>
        <v/>
      </c>
      <c r="CS20" s="109" t="str">
        <f t="shared" si="20"/>
        <v/>
      </c>
      <c r="CT20" s="109" t="str">
        <f t="shared" si="20"/>
        <v/>
      </c>
      <c r="CU20" s="109" t="str">
        <f t="shared" si="20"/>
        <v/>
      </c>
      <c r="CV20" s="109" t="str">
        <f t="shared" si="21"/>
        <v/>
      </c>
      <c r="CW20" s="109" t="str">
        <f t="shared" si="21"/>
        <v/>
      </c>
      <c r="CX20" s="109" t="str">
        <f t="shared" si="21"/>
        <v/>
      </c>
      <c r="CY20" s="109" t="str">
        <f t="shared" si="21"/>
        <v/>
      </c>
      <c r="CZ20" s="109" t="str">
        <f t="shared" si="21"/>
        <v/>
      </c>
      <c r="DA20" s="109" t="str">
        <f t="shared" si="21"/>
        <v/>
      </c>
      <c r="DB20" s="109" t="str">
        <f t="shared" si="21"/>
        <v/>
      </c>
      <c r="DC20" s="109" t="str">
        <f t="shared" si="21"/>
        <v/>
      </c>
    </row>
    <row r="21" spans="1:107" ht="26.25" customHeight="1" x14ac:dyDescent="0.25">
      <c r="A21" s="92" t="s">
        <v>316</v>
      </c>
      <c r="B21" s="76" t="s">
        <v>355</v>
      </c>
      <c r="C21" s="77" t="s">
        <v>477</v>
      </c>
      <c r="D21" s="77" t="s">
        <v>477</v>
      </c>
      <c r="E21" s="94">
        <v>46142</v>
      </c>
      <c r="F21" s="108">
        <v>1</v>
      </c>
      <c r="G21" s="110">
        <f t="shared" si="0"/>
        <v>46142</v>
      </c>
      <c r="H21" s="102">
        <v>0</v>
      </c>
      <c r="I21" s="97" t="str">
        <f t="shared" ca="1" si="1"/>
        <v>Late</v>
      </c>
      <c r="J21" s="109" t="str">
        <f t="shared" si="12"/>
        <v/>
      </c>
      <c r="K21" s="109" t="str">
        <f t="shared" si="12"/>
        <v/>
      </c>
      <c r="L21" s="109" t="str">
        <f t="shared" si="12"/>
        <v/>
      </c>
      <c r="M21" s="109" t="str">
        <f t="shared" si="12"/>
        <v/>
      </c>
      <c r="N21" s="109" t="str">
        <f t="shared" si="12"/>
        <v/>
      </c>
      <c r="O21" s="109" t="str">
        <f t="shared" si="12"/>
        <v/>
      </c>
      <c r="P21" s="109" t="str">
        <f t="shared" si="12"/>
        <v/>
      </c>
      <c r="Q21" s="109" t="str">
        <f t="shared" si="12"/>
        <v/>
      </c>
      <c r="R21" s="109" t="str">
        <f t="shared" si="12"/>
        <v/>
      </c>
      <c r="S21" s="109" t="str">
        <f t="shared" si="12"/>
        <v/>
      </c>
      <c r="T21" s="109" t="str">
        <f t="shared" si="13"/>
        <v/>
      </c>
      <c r="U21" s="109" t="str">
        <f t="shared" si="13"/>
        <v/>
      </c>
      <c r="V21" s="109" t="str">
        <f t="shared" si="13"/>
        <v/>
      </c>
      <c r="W21" s="109" t="str">
        <f t="shared" si="13"/>
        <v/>
      </c>
      <c r="X21" s="109" t="str">
        <f t="shared" si="13"/>
        <v/>
      </c>
      <c r="Y21" s="109" t="str">
        <f t="shared" si="13"/>
        <v/>
      </c>
      <c r="Z21" s="109" t="str">
        <f t="shared" si="13"/>
        <v/>
      </c>
      <c r="AA21" s="109" t="str">
        <f t="shared" si="13"/>
        <v/>
      </c>
      <c r="AB21" s="109" t="str">
        <f t="shared" si="13"/>
        <v/>
      </c>
      <c r="AC21" s="109" t="str">
        <f t="shared" si="13"/>
        <v/>
      </c>
      <c r="AD21" s="109" t="str">
        <f t="shared" si="14"/>
        <v/>
      </c>
      <c r="AE21" s="109" t="str">
        <f t="shared" si="14"/>
        <v/>
      </c>
      <c r="AF21" s="109" t="str">
        <f t="shared" si="14"/>
        <v/>
      </c>
      <c r="AG21" s="109" t="str">
        <f t="shared" si="14"/>
        <v/>
      </c>
      <c r="AH21" s="109" t="str">
        <f t="shared" si="14"/>
        <v/>
      </c>
      <c r="AI21" s="109" t="str">
        <f t="shared" si="14"/>
        <v/>
      </c>
      <c r="AJ21" s="109" t="str">
        <f t="shared" si="14"/>
        <v/>
      </c>
      <c r="AK21" s="109" t="str">
        <f t="shared" si="14"/>
        <v/>
      </c>
      <c r="AL21" s="109" t="str">
        <f t="shared" si="14"/>
        <v/>
      </c>
      <c r="AM21" s="109" t="str">
        <f t="shared" si="14"/>
        <v/>
      </c>
      <c r="AN21" s="109" t="str">
        <f t="shared" si="15"/>
        <v/>
      </c>
      <c r="AO21" s="109">
        <f t="shared" si="15"/>
        <v>1</v>
      </c>
      <c r="AP21" s="109" t="str">
        <f t="shared" si="15"/>
        <v/>
      </c>
      <c r="AQ21" s="109" t="str">
        <f t="shared" si="15"/>
        <v/>
      </c>
      <c r="AR21" s="109" t="str">
        <f t="shared" si="15"/>
        <v/>
      </c>
      <c r="AS21" s="109" t="str">
        <f t="shared" si="15"/>
        <v/>
      </c>
      <c r="AT21" s="109" t="str">
        <f t="shared" si="15"/>
        <v/>
      </c>
      <c r="AU21" s="109" t="str">
        <f t="shared" si="15"/>
        <v/>
      </c>
      <c r="AV21" s="109" t="str">
        <f t="shared" si="15"/>
        <v/>
      </c>
      <c r="AW21" s="109" t="str">
        <f t="shared" si="15"/>
        <v/>
      </c>
      <c r="AX21" s="109" t="str">
        <f t="shared" si="16"/>
        <v/>
      </c>
      <c r="AY21" s="109" t="str">
        <f t="shared" si="16"/>
        <v/>
      </c>
      <c r="AZ21" s="109" t="str">
        <f t="shared" si="16"/>
        <v/>
      </c>
      <c r="BA21" s="109" t="str">
        <f t="shared" si="16"/>
        <v/>
      </c>
      <c r="BB21" s="109" t="str">
        <f t="shared" si="16"/>
        <v/>
      </c>
      <c r="BC21" s="109" t="str">
        <f t="shared" si="16"/>
        <v/>
      </c>
      <c r="BD21" s="109" t="str">
        <f t="shared" si="16"/>
        <v/>
      </c>
      <c r="BE21" s="109" t="str">
        <f t="shared" si="16"/>
        <v/>
      </c>
      <c r="BF21" s="109" t="str">
        <f t="shared" si="16"/>
        <v/>
      </c>
      <c r="BG21" s="109" t="str">
        <f t="shared" si="16"/>
        <v/>
      </c>
      <c r="BH21" s="109" t="str">
        <f t="shared" si="17"/>
        <v/>
      </c>
      <c r="BI21" s="109" t="str">
        <f t="shared" si="17"/>
        <v/>
      </c>
      <c r="BJ21" s="109" t="str">
        <f t="shared" si="17"/>
        <v/>
      </c>
      <c r="BK21" s="109" t="str">
        <f t="shared" si="17"/>
        <v/>
      </c>
      <c r="BL21" s="109" t="str">
        <f t="shared" si="17"/>
        <v/>
      </c>
      <c r="BM21" s="109" t="str">
        <f t="shared" si="17"/>
        <v/>
      </c>
      <c r="BN21" s="109" t="str">
        <f t="shared" si="17"/>
        <v/>
      </c>
      <c r="BO21" s="109" t="str">
        <f t="shared" si="17"/>
        <v/>
      </c>
      <c r="BP21" s="109" t="str">
        <f t="shared" si="17"/>
        <v/>
      </c>
      <c r="BQ21" s="109" t="str">
        <f t="shared" si="17"/>
        <v/>
      </c>
      <c r="BR21" s="109" t="str">
        <f t="shared" si="18"/>
        <v/>
      </c>
      <c r="BS21" s="109" t="str">
        <f t="shared" si="18"/>
        <v/>
      </c>
      <c r="BT21" s="109" t="str">
        <f t="shared" si="18"/>
        <v/>
      </c>
      <c r="BU21" s="109" t="str">
        <f t="shared" si="18"/>
        <v/>
      </c>
      <c r="BV21" s="109" t="str">
        <f t="shared" si="18"/>
        <v/>
      </c>
      <c r="BW21" s="109" t="str">
        <f t="shared" si="18"/>
        <v/>
      </c>
      <c r="BX21" s="109" t="str">
        <f t="shared" si="18"/>
        <v/>
      </c>
      <c r="BY21" s="109" t="str">
        <f t="shared" si="18"/>
        <v/>
      </c>
      <c r="BZ21" s="109" t="str">
        <f t="shared" si="18"/>
        <v/>
      </c>
      <c r="CA21" s="109" t="str">
        <f t="shared" si="18"/>
        <v/>
      </c>
      <c r="CB21" s="109" t="str">
        <f t="shared" si="19"/>
        <v/>
      </c>
      <c r="CC21" s="109" t="str">
        <f t="shared" si="19"/>
        <v/>
      </c>
      <c r="CD21" s="109" t="str">
        <f t="shared" si="19"/>
        <v/>
      </c>
      <c r="CE21" s="109" t="str">
        <f t="shared" si="19"/>
        <v/>
      </c>
      <c r="CF21" s="109" t="str">
        <f t="shared" si="19"/>
        <v/>
      </c>
      <c r="CG21" s="109" t="str">
        <f t="shared" si="19"/>
        <v/>
      </c>
      <c r="CH21" s="109" t="str">
        <f t="shared" si="19"/>
        <v/>
      </c>
      <c r="CI21" s="109" t="str">
        <f t="shared" si="19"/>
        <v/>
      </c>
      <c r="CJ21" s="109" t="str">
        <f t="shared" si="19"/>
        <v/>
      </c>
      <c r="CK21" s="109" t="str">
        <f t="shared" si="19"/>
        <v/>
      </c>
      <c r="CL21" s="109" t="str">
        <f t="shared" si="20"/>
        <v/>
      </c>
      <c r="CM21" s="109" t="str">
        <f t="shared" si="20"/>
        <v/>
      </c>
      <c r="CN21" s="109" t="str">
        <f t="shared" si="20"/>
        <v/>
      </c>
      <c r="CO21" s="109" t="str">
        <f t="shared" si="20"/>
        <v/>
      </c>
      <c r="CP21" s="109" t="str">
        <f t="shared" si="20"/>
        <v/>
      </c>
      <c r="CQ21" s="109" t="str">
        <f t="shared" si="20"/>
        <v/>
      </c>
      <c r="CR21" s="109" t="str">
        <f t="shared" si="20"/>
        <v/>
      </c>
      <c r="CS21" s="109" t="str">
        <f t="shared" si="20"/>
        <v/>
      </c>
      <c r="CT21" s="109" t="str">
        <f t="shared" si="20"/>
        <v/>
      </c>
      <c r="CU21" s="109" t="str">
        <f t="shared" si="20"/>
        <v/>
      </c>
      <c r="CV21" s="109" t="str">
        <f t="shared" si="21"/>
        <v/>
      </c>
      <c r="CW21" s="109" t="str">
        <f t="shared" si="21"/>
        <v/>
      </c>
      <c r="CX21" s="109" t="str">
        <f t="shared" si="21"/>
        <v/>
      </c>
      <c r="CY21" s="109" t="str">
        <f t="shared" si="21"/>
        <v/>
      </c>
      <c r="CZ21" s="109" t="str">
        <f t="shared" si="21"/>
        <v/>
      </c>
      <c r="DA21" s="109" t="str">
        <f t="shared" si="21"/>
        <v/>
      </c>
      <c r="DB21" s="109" t="str">
        <f t="shared" si="21"/>
        <v/>
      </c>
      <c r="DC21" s="109" t="str">
        <f t="shared" si="21"/>
        <v/>
      </c>
    </row>
    <row r="22" spans="1:107" ht="26.25" customHeight="1" x14ac:dyDescent="0.25">
      <c r="A22" s="92" t="s">
        <v>316</v>
      </c>
      <c r="B22" s="76" t="s">
        <v>355</v>
      </c>
      <c r="C22" s="77" t="s">
        <v>478</v>
      </c>
      <c r="D22" s="77" t="s">
        <v>478</v>
      </c>
      <c r="E22" s="94">
        <v>46143</v>
      </c>
      <c r="F22" s="108">
        <v>2</v>
      </c>
      <c r="G22" s="110">
        <f t="shared" si="0"/>
        <v>46144</v>
      </c>
      <c r="H22" s="102">
        <v>0</v>
      </c>
      <c r="I22" s="97" t="str">
        <f t="shared" ca="1" si="1"/>
        <v>Late</v>
      </c>
      <c r="J22" s="109" t="str">
        <f t="shared" si="12"/>
        <v/>
      </c>
      <c r="K22" s="109" t="str">
        <f t="shared" si="12"/>
        <v/>
      </c>
      <c r="L22" s="109" t="str">
        <f t="shared" si="12"/>
        <v/>
      </c>
      <c r="M22" s="109" t="str">
        <f t="shared" si="12"/>
        <v/>
      </c>
      <c r="N22" s="109" t="str">
        <f t="shared" si="12"/>
        <v/>
      </c>
      <c r="O22" s="109" t="str">
        <f t="shared" si="12"/>
        <v/>
      </c>
      <c r="P22" s="109" t="str">
        <f t="shared" si="12"/>
        <v/>
      </c>
      <c r="Q22" s="109" t="str">
        <f t="shared" si="12"/>
        <v/>
      </c>
      <c r="R22" s="109" t="str">
        <f t="shared" si="12"/>
        <v/>
      </c>
      <c r="S22" s="109" t="str">
        <f t="shared" si="12"/>
        <v/>
      </c>
      <c r="T22" s="109" t="str">
        <f t="shared" si="13"/>
        <v/>
      </c>
      <c r="U22" s="109" t="str">
        <f t="shared" si="13"/>
        <v/>
      </c>
      <c r="V22" s="109" t="str">
        <f t="shared" si="13"/>
        <v/>
      </c>
      <c r="W22" s="109" t="str">
        <f t="shared" si="13"/>
        <v/>
      </c>
      <c r="X22" s="109" t="str">
        <f t="shared" si="13"/>
        <v/>
      </c>
      <c r="Y22" s="109" t="str">
        <f t="shared" si="13"/>
        <v/>
      </c>
      <c r="Z22" s="109" t="str">
        <f t="shared" si="13"/>
        <v/>
      </c>
      <c r="AA22" s="109" t="str">
        <f t="shared" si="13"/>
        <v/>
      </c>
      <c r="AB22" s="109" t="str">
        <f t="shared" si="13"/>
        <v/>
      </c>
      <c r="AC22" s="109" t="str">
        <f t="shared" si="13"/>
        <v/>
      </c>
      <c r="AD22" s="109" t="str">
        <f t="shared" si="14"/>
        <v/>
      </c>
      <c r="AE22" s="109" t="str">
        <f t="shared" si="14"/>
        <v/>
      </c>
      <c r="AF22" s="109" t="str">
        <f t="shared" si="14"/>
        <v/>
      </c>
      <c r="AG22" s="109" t="str">
        <f t="shared" si="14"/>
        <v/>
      </c>
      <c r="AH22" s="109" t="str">
        <f t="shared" si="14"/>
        <v/>
      </c>
      <c r="AI22" s="109" t="str">
        <f t="shared" si="14"/>
        <v/>
      </c>
      <c r="AJ22" s="109" t="str">
        <f t="shared" si="14"/>
        <v/>
      </c>
      <c r="AK22" s="109" t="str">
        <f t="shared" si="14"/>
        <v/>
      </c>
      <c r="AL22" s="109" t="str">
        <f t="shared" si="14"/>
        <v/>
      </c>
      <c r="AM22" s="109" t="str">
        <f t="shared" si="14"/>
        <v/>
      </c>
      <c r="AN22" s="109" t="str">
        <f t="shared" si="15"/>
        <v/>
      </c>
      <c r="AO22" s="109" t="str">
        <f t="shared" si="15"/>
        <v/>
      </c>
      <c r="AP22" s="109">
        <f t="shared" si="15"/>
        <v>1</v>
      </c>
      <c r="AQ22" s="109">
        <f t="shared" si="15"/>
        <v>1</v>
      </c>
      <c r="AR22" s="109" t="str">
        <f t="shared" si="15"/>
        <v/>
      </c>
      <c r="AS22" s="109" t="str">
        <f t="shared" si="15"/>
        <v/>
      </c>
      <c r="AT22" s="109" t="str">
        <f t="shared" si="15"/>
        <v/>
      </c>
      <c r="AU22" s="109" t="str">
        <f t="shared" si="15"/>
        <v/>
      </c>
      <c r="AV22" s="109" t="str">
        <f t="shared" si="15"/>
        <v/>
      </c>
      <c r="AW22" s="109" t="str">
        <f t="shared" si="15"/>
        <v/>
      </c>
      <c r="AX22" s="109" t="str">
        <f t="shared" si="16"/>
        <v/>
      </c>
      <c r="AY22" s="109" t="str">
        <f t="shared" si="16"/>
        <v/>
      </c>
      <c r="AZ22" s="109" t="str">
        <f t="shared" si="16"/>
        <v/>
      </c>
      <c r="BA22" s="109" t="str">
        <f t="shared" si="16"/>
        <v/>
      </c>
      <c r="BB22" s="109" t="str">
        <f t="shared" si="16"/>
        <v/>
      </c>
      <c r="BC22" s="109" t="str">
        <f t="shared" si="16"/>
        <v/>
      </c>
      <c r="BD22" s="109" t="str">
        <f t="shared" si="16"/>
        <v/>
      </c>
      <c r="BE22" s="109" t="str">
        <f t="shared" si="16"/>
        <v/>
      </c>
      <c r="BF22" s="109" t="str">
        <f t="shared" si="16"/>
        <v/>
      </c>
      <c r="BG22" s="109" t="str">
        <f t="shared" si="16"/>
        <v/>
      </c>
      <c r="BH22" s="109" t="str">
        <f t="shared" si="17"/>
        <v/>
      </c>
      <c r="BI22" s="109" t="str">
        <f t="shared" si="17"/>
        <v/>
      </c>
      <c r="BJ22" s="109" t="str">
        <f t="shared" si="17"/>
        <v/>
      </c>
      <c r="BK22" s="109" t="str">
        <f t="shared" si="17"/>
        <v/>
      </c>
      <c r="BL22" s="109" t="str">
        <f t="shared" si="17"/>
        <v/>
      </c>
      <c r="BM22" s="109" t="str">
        <f t="shared" si="17"/>
        <v/>
      </c>
      <c r="BN22" s="109" t="str">
        <f t="shared" si="17"/>
        <v/>
      </c>
      <c r="BO22" s="109" t="str">
        <f t="shared" si="17"/>
        <v/>
      </c>
      <c r="BP22" s="109" t="str">
        <f t="shared" si="17"/>
        <v/>
      </c>
      <c r="BQ22" s="109" t="str">
        <f t="shared" si="17"/>
        <v/>
      </c>
      <c r="BR22" s="109" t="str">
        <f t="shared" si="18"/>
        <v/>
      </c>
      <c r="BS22" s="109" t="str">
        <f t="shared" si="18"/>
        <v/>
      </c>
      <c r="BT22" s="109" t="str">
        <f t="shared" si="18"/>
        <v/>
      </c>
      <c r="BU22" s="109" t="str">
        <f t="shared" si="18"/>
        <v/>
      </c>
      <c r="BV22" s="109" t="str">
        <f t="shared" si="18"/>
        <v/>
      </c>
      <c r="BW22" s="109" t="str">
        <f t="shared" si="18"/>
        <v/>
      </c>
      <c r="BX22" s="109" t="str">
        <f t="shared" si="18"/>
        <v/>
      </c>
      <c r="BY22" s="109" t="str">
        <f t="shared" si="18"/>
        <v/>
      </c>
      <c r="BZ22" s="109" t="str">
        <f t="shared" si="18"/>
        <v/>
      </c>
      <c r="CA22" s="109" t="str">
        <f t="shared" si="18"/>
        <v/>
      </c>
      <c r="CB22" s="109" t="str">
        <f t="shared" si="19"/>
        <v/>
      </c>
      <c r="CC22" s="109" t="str">
        <f t="shared" si="19"/>
        <v/>
      </c>
      <c r="CD22" s="109" t="str">
        <f t="shared" si="19"/>
        <v/>
      </c>
      <c r="CE22" s="109" t="str">
        <f t="shared" si="19"/>
        <v/>
      </c>
      <c r="CF22" s="109" t="str">
        <f t="shared" si="19"/>
        <v/>
      </c>
      <c r="CG22" s="109" t="str">
        <f t="shared" si="19"/>
        <v/>
      </c>
      <c r="CH22" s="109" t="str">
        <f t="shared" si="19"/>
        <v/>
      </c>
      <c r="CI22" s="109" t="str">
        <f t="shared" si="19"/>
        <v/>
      </c>
      <c r="CJ22" s="109" t="str">
        <f t="shared" si="19"/>
        <v/>
      </c>
      <c r="CK22" s="109" t="str">
        <f t="shared" si="19"/>
        <v/>
      </c>
      <c r="CL22" s="109" t="str">
        <f t="shared" si="20"/>
        <v/>
      </c>
      <c r="CM22" s="109" t="str">
        <f t="shared" si="20"/>
        <v/>
      </c>
      <c r="CN22" s="109" t="str">
        <f t="shared" si="20"/>
        <v/>
      </c>
      <c r="CO22" s="109" t="str">
        <f t="shared" si="20"/>
        <v/>
      </c>
      <c r="CP22" s="109" t="str">
        <f t="shared" si="20"/>
        <v/>
      </c>
      <c r="CQ22" s="109" t="str">
        <f t="shared" si="20"/>
        <v/>
      </c>
      <c r="CR22" s="109" t="str">
        <f t="shared" si="20"/>
        <v/>
      </c>
      <c r="CS22" s="109" t="str">
        <f t="shared" si="20"/>
        <v/>
      </c>
      <c r="CT22" s="109" t="str">
        <f t="shared" si="20"/>
        <v/>
      </c>
      <c r="CU22" s="109" t="str">
        <f t="shared" si="20"/>
        <v/>
      </c>
      <c r="CV22" s="109" t="str">
        <f t="shared" si="21"/>
        <v/>
      </c>
      <c r="CW22" s="109" t="str">
        <f t="shared" si="21"/>
        <v/>
      </c>
      <c r="CX22" s="109" t="str">
        <f t="shared" si="21"/>
        <v/>
      </c>
      <c r="CY22" s="109" t="str">
        <f t="shared" si="21"/>
        <v/>
      </c>
      <c r="CZ22" s="109" t="str">
        <f t="shared" si="21"/>
        <v/>
      </c>
      <c r="DA22" s="109" t="str">
        <f t="shared" si="21"/>
        <v/>
      </c>
      <c r="DB22" s="109" t="str">
        <f t="shared" si="21"/>
        <v/>
      </c>
      <c r="DC22" s="109" t="str">
        <f t="shared" si="21"/>
        <v/>
      </c>
    </row>
    <row r="23" spans="1:107" ht="26.25" customHeight="1" x14ac:dyDescent="0.25">
      <c r="A23" s="92" t="s">
        <v>373</v>
      </c>
      <c r="B23" s="76" t="s">
        <v>375</v>
      </c>
      <c r="C23" s="77" t="s">
        <v>472</v>
      </c>
      <c r="D23" s="77" t="s">
        <v>472</v>
      </c>
      <c r="E23" s="94">
        <v>46108</v>
      </c>
      <c r="F23" s="108">
        <v>5</v>
      </c>
      <c r="G23" s="110">
        <f t="shared" si="0"/>
        <v>46112</v>
      </c>
      <c r="H23" s="102">
        <v>1</v>
      </c>
      <c r="I23" s="97" t="str">
        <f t="shared" ca="1" si="1"/>
        <v>Done</v>
      </c>
      <c r="J23" s="109">
        <f t="shared" ref="J23:S32" si="22">IF(AND(J$2&gt;=$E23,J$2&lt;=$G23),1,"")</f>
        <v>1</v>
      </c>
      <c r="K23" s="109">
        <f t="shared" si="22"/>
        <v>1</v>
      </c>
      <c r="L23" s="109" t="str">
        <f t="shared" si="22"/>
        <v/>
      </c>
      <c r="M23" s="109" t="str">
        <f t="shared" si="22"/>
        <v/>
      </c>
      <c r="N23" s="109" t="str">
        <f t="shared" si="22"/>
        <v/>
      </c>
      <c r="O23" s="109" t="str">
        <f t="shared" si="22"/>
        <v/>
      </c>
      <c r="P23" s="109" t="str">
        <f t="shared" si="22"/>
        <v/>
      </c>
      <c r="Q23" s="109" t="str">
        <f t="shared" si="22"/>
        <v/>
      </c>
      <c r="R23" s="109" t="str">
        <f t="shared" si="22"/>
        <v/>
      </c>
      <c r="S23" s="109" t="str">
        <f t="shared" si="22"/>
        <v/>
      </c>
      <c r="T23" s="109" t="str">
        <f t="shared" ref="T23:AC32" si="23">IF(AND(T$2&gt;=$E23,T$2&lt;=$G23),1,"")</f>
        <v/>
      </c>
      <c r="U23" s="109" t="str">
        <f t="shared" si="23"/>
        <v/>
      </c>
      <c r="V23" s="109" t="str">
        <f t="shared" si="23"/>
        <v/>
      </c>
      <c r="W23" s="109" t="str">
        <f t="shared" si="23"/>
        <v/>
      </c>
      <c r="X23" s="109" t="str">
        <f t="shared" si="23"/>
        <v/>
      </c>
      <c r="Y23" s="109" t="str">
        <f t="shared" si="23"/>
        <v/>
      </c>
      <c r="Z23" s="109" t="str">
        <f t="shared" si="23"/>
        <v/>
      </c>
      <c r="AA23" s="109" t="str">
        <f t="shared" si="23"/>
        <v/>
      </c>
      <c r="AB23" s="109" t="str">
        <f t="shared" si="23"/>
        <v/>
      </c>
      <c r="AC23" s="109" t="str">
        <f t="shared" si="23"/>
        <v/>
      </c>
      <c r="AD23" s="109" t="str">
        <f t="shared" ref="AD23:AM32" si="24">IF(AND(AD$2&gt;=$E23,AD$2&lt;=$G23),1,"")</f>
        <v/>
      </c>
      <c r="AE23" s="109" t="str">
        <f t="shared" si="24"/>
        <v/>
      </c>
      <c r="AF23" s="109" t="str">
        <f t="shared" si="24"/>
        <v/>
      </c>
      <c r="AG23" s="109" t="str">
        <f t="shared" si="24"/>
        <v/>
      </c>
      <c r="AH23" s="109" t="str">
        <f t="shared" si="24"/>
        <v/>
      </c>
      <c r="AI23" s="109" t="str">
        <f t="shared" si="24"/>
        <v/>
      </c>
      <c r="AJ23" s="109" t="str">
        <f t="shared" si="24"/>
        <v/>
      </c>
      <c r="AK23" s="109" t="str">
        <f t="shared" si="24"/>
        <v/>
      </c>
      <c r="AL23" s="109" t="str">
        <f t="shared" si="24"/>
        <v/>
      </c>
      <c r="AM23" s="109" t="str">
        <f t="shared" si="24"/>
        <v/>
      </c>
      <c r="AN23" s="109" t="str">
        <f t="shared" ref="AN23:AW32" si="25">IF(AND(AN$2&gt;=$E23,AN$2&lt;=$G23),1,"")</f>
        <v/>
      </c>
      <c r="AO23" s="109" t="str">
        <f t="shared" si="25"/>
        <v/>
      </c>
      <c r="AP23" s="109" t="str">
        <f t="shared" si="25"/>
        <v/>
      </c>
      <c r="AQ23" s="109" t="str">
        <f t="shared" si="25"/>
        <v/>
      </c>
      <c r="AR23" s="109" t="str">
        <f t="shared" si="25"/>
        <v/>
      </c>
      <c r="AS23" s="109" t="str">
        <f t="shared" si="25"/>
        <v/>
      </c>
      <c r="AT23" s="109" t="str">
        <f t="shared" si="25"/>
        <v/>
      </c>
      <c r="AU23" s="109" t="str">
        <f t="shared" si="25"/>
        <v/>
      </c>
      <c r="AV23" s="109" t="str">
        <f t="shared" si="25"/>
        <v/>
      </c>
      <c r="AW23" s="109" t="str">
        <f t="shared" si="25"/>
        <v/>
      </c>
      <c r="AX23" s="109" t="str">
        <f t="shared" ref="AX23:BG32" si="26">IF(AND(AX$2&gt;=$E23,AX$2&lt;=$G23),1,"")</f>
        <v/>
      </c>
      <c r="AY23" s="109" t="str">
        <f t="shared" si="26"/>
        <v/>
      </c>
      <c r="AZ23" s="109" t="str">
        <f t="shared" si="26"/>
        <v/>
      </c>
      <c r="BA23" s="109" t="str">
        <f t="shared" si="26"/>
        <v/>
      </c>
      <c r="BB23" s="109" t="str">
        <f t="shared" si="26"/>
        <v/>
      </c>
      <c r="BC23" s="109" t="str">
        <f t="shared" si="26"/>
        <v/>
      </c>
      <c r="BD23" s="109" t="str">
        <f t="shared" si="26"/>
        <v/>
      </c>
      <c r="BE23" s="109" t="str">
        <f t="shared" si="26"/>
        <v/>
      </c>
      <c r="BF23" s="109" t="str">
        <f t="shared" si="26"/>
        <v/>
      </c>
      <c r="BG23" s="109" t="str">
        <f t="shared" si="26"/>
        <v/>
      </c>
      <c r="BH23" s="109" t="str">
        <f t="shared" ref="BH23:BQ32" si="27">IF(AND(BH$2&gt;=$E23,BH$2&lt;=$G23),1,"")</f>
        <v/>
      </c>
      <c r="BI23" s="109" t="str">
        <f t="shared" si="27"/>
        <v/>
      </c>
      <c r="BJ23" s="109" t="str">
        <f t="shared" si="27"/>
        <v/>
      </c>
      <c r="BK23" s="109" t="str">
        <f t="shared" si="27"/>
        <v/>
      </c>
      <c r="BL23" s="109" t="str">
        <f t="shared" si="27"/>
        <v/>
      </c>
      <c r="BM23" s="109" t="str">
        <f t="shared" si="27"/>
        <v/>
      </c>
      <c r="BN23" s="109" t="str">
        <f t="shared" si="27"/>
        <v/>
      </c>
      <c r="BO23" s="109" t="str">
        <f t="shared" si="27"/>
        <v/>
      </c>
      <c r="BP23" s="109" t="str">
        <f t="shared" si="27"/>
        <v/>
      </c>
      <c r="BQ23" s="109" t="str">
        <f t="shared" si="27"/>
        <v/>
      </c>
      <c r="BR23" s="109" t="str">
        <f t="shared" ref="BR23:CA32" si="28">IF(AND(BR$2&gt;=$E23,BR$2&lt;=$G23),1,"")</f>
        <v/>
      </c>
      <c r="BS23" s="109" t="str">
        <f t="shared" si="28"/>
        <v/>
      </c>
      <c r="BT23" s="109" t="str">
        <f t="shared" si="28"/>
        <v/>
      </c>
      <c r="BU23" s="109" t="str">
        <f t="shared" si="28"/>
        <v/>
      </c>
      <c r="BV23" s="109" t="str">
        <f t="shared" si="28"/>
        <v/>
      </c>
      <c r="BW23" s="109" t="str">
        <f t="shared" si="28"/>
        <v/>
      </c>
      <c r="BX23" s="109" t="str">
        <f t="shared" si="28"/>
        <v/>
      </c>
      <c r="BY23" s="109" t="str">
        <f t="shared" si="28"/>
        <v/>
      </c>
      <c r="BZ23" s="109" t="str">
        <f t="shared" si="28"/>
        <v/>
      </c>
      <c r="CA23" s="109" t="str">
        <f t="shared" si="28"/>
        <v/>
      </c>
      <c r="CB23" s="109" t="str">
        <f t="shared" ref="CB23:CK32" si="29">IF(AND(CB$2&gt;=$E23,CB$2&lt;=$G23),1,"")</f>
        <v/>
      </c>
      <c r="CC23" s="109" t="str">
        <f t="shared" si="29"/>
        <v/>
      </c>
      <c r="CD23" s="109" t="str">
        <f t="shared" si="29"/>
        <v/>
      </c>
      <c r="CE23" s="109" t="str">
        <f t="shared" si="29"/>
        <v/>
      </c>
      <c r="CF23" s="109" t="str">
        <f t="shared" si="29"/>
        <v/>
      </c>
      <c r="CG23" s="109" t="str">
        <f t="shared" si="29"/>
        <v/>
      </c>
      <c r="CH23" s="109" t="str">
        <f t="shared" si="29"/>
        <v/>
      </c>
      <c r="CI23" s="109" t="str">
        <f t="shared" si="29"/>
        <v/>
      </c>
      <c r="CJ23" s="109" t="str">
        <f t="shared" si="29"/>
        <v/>
      </c>
      <c r="CK23" s="109" t="str">
        <f t="shared" si="29"/>
        <v/>
      </c>
      <c r="CL23" s="109" t="str">
        <f t="shared" ref="CL23:CU32" si="30">IF(AND(CL$2&gt;=$E23,CL$2&lt;=$G23),1,"")</f>
        <v/>
      </c>
      <c r="CM23" s="109" t="str">
        <f t="shared" si="30"/>
        <v/>
      </c>
      <c r="CN23" s="109" t="str">
        <f t="shared" si="30"/>
        <v/>
      </c>
      <c r="CO23" s="109" t="str">
        <f t="shared" si="30"/>
        <v/>
      </c>
      <c r="CP23" s="109" t="str">
        <f t="shared" si="30"/>
        <v/>
      </c>
      <c r="CQ23" s="109" t="str">
        <f t="shared" si="30"/>
        <v/>
      </c>
      <c r="CR23" s="109" t="str">
        <f t="shared" si="30"/>
        <v/>
      </c>
      <c r="CS23" s="109" t="str">
        <f t="shared" si="30"/>
        <v/>
      </c>
      <c r="CT23" s="109" t="str">
        <f t="shared" si="30"/>
        <v/>
      </c>
      <c r="CU23" s="109" t="str">
        <f t="shared" si="30"/>
        <v/>
      </c>
      <c r="CV23" s="109" t="str">
        <f t="shared" ref="CV23:DC32" si="31">IF(AND(CV$2&gt;=$E23,CV$2&lt;=$G23),1,"")</f>
        <v/>
      </c>
      <c r="CW23" s="109" t="str">
        <f t="shared" si="31"/>
        <v/>
      </c>
      <c r="CX23" s="109" t="str">
        <f t="shared" si="31"/>
        <v/>
      </c>
      <c r="CY23" s="109" t="str">
        <f t="shared" si="31"/>
        <v/>
      </c>
      <c r="CZ23" s="109" t="str">
        <f t="shared" si="31"/>
        <v/>
      </c>
      <c r="DA23" s="109" t="str">
        <f t="shared" si="31"/>
        <v/>
      </c>
      <c r="DB23" s="109" t="str">
        <f t="shared" si="31"/>
        <v/>
      </c>
      <c r="DC23" s="109" t="str">
        <f t="shared" si="31"/>
        <v/>
      </c>
    </row>
    <row r="24" spans="1:107" ht="26.25" customHeight="1" x14ac:dyDescent="0.25">
      <c r="A24" s="92" t="s">
        <v>373</v>
      </c>
      <c r="B24" s="76" t="s">
        <v>375</v>
      </c>
      <c r="C24" s="77" t="s">
        <v>473</v>
      </c>
      <c r="D24" s="77" t="s">
        <v>473</v>
      </c>
      <c r="E24" s="94">
        <v>46112</v>
      </c>
      <c r="F24" s="108">
        <v>2</v>
      </c>
      <c r="G24" s="110">
        <f t="shared" si="0"/>
        <v>46113</v>
      </c>
      <c r="H24" s="102">
        <v>0.5</v>
      </c>
      <c r="I24" s="97" t="str">
        <f t="shared" ca="1" si="1"/>
        <v>Late</v>
      </c>
      <c r="J24" s="109" t="str">
        <f t="shared" si="22"/>
        <v/>
      </c>
      <c r="K24" s="109">
        <f t="shared" si="22"/>
        <v>1</v>
      </c>
      <c r="L24" s="109">
        <f t="shared" si="22"/>
        <v>1</v>
      </c>
      <c r="M24" s="109" t="str">
        <f t="shared" si="22"/>
        <v/>
      </c>
      <c r="N24" s="109" t="str">
        <f t="shared" si="22"/>
        <v/>
      </c>
      <c r="O24" s="109" t="str">
        <f t="shared" si="22"/>
        <v/>
      </c>
      <c r="P24" s="109" t="str">
        <f t="shared" si="22"/>
        <v/>
      </c>
      <c r="Q24" s="109" t="str">
        <f t="shared" si="22"/>
        <v/>
      </c>
      <c r="R24" s="109" t="str">
        <f t="shared" si="22"/>
        <v/>
      </c>
      <c r="S24" s="109" t="str">
        <f t="shared" si="22"/>
        <v/>
      </c>
      <c r="T24" s="109" t="str">
        <f t="shared" si="23"/>
        <v/>
      </c>
      <c r="U24" s="109" t="str">
        <f t="shared" si="23"/>
        <v/>
      </c>
      <c r="V24" s="109" t="str">
        <f t="shared" si="23"/>
        <v/>
      </c>
      <c r="W24" s="109" t="str">
        <f t="shared" si="23"/>
        <v/>
      </c>
      <c r="X24" s="109" t="str">
        <f t="shared" si="23"/>
        <v/>
      </c>
      <c r="Y24" s="109" t="str">
        <f t="shared" si="23"/>
        <v/>
      </c>
      <c r="Z24" s="109" t="str">
        <f t="shared" si="23"/>
        <v/>
      </c>
      <c r="AA24" s="109" t="str">
        <f t="shared" si="23"/>
        <v/>
      </c>
      <c r="AB24" s="109" t="str">
        <f t="shared" si="23"/>
        <v/>
      </c>
      <c r="AC24" s="109" t="str">
        <f t="shared" si="23"/>
        <v/>
      </c>
      <c r="AD24" s="109" t="str">
        <f t="shared" si="24"/>
        <v/>
      </c>
      <c r="AE24" s="109" t="str">
        <f t="shared" si="24"/>
        <v/>
      </c>
      <c r="AF24" s="109" t="str">
        <f t="shared" si="24"/>
        <v/>
      </c>
      <c r="AG24" s="109" t="str">
        <f t="shared" si="24"/>
        <v/>
      </c>
      <c r="AH24" s="109" t="str">
        <f t="shared" si="24"/>
        <v/>
      </c>
      <c r="AI24" s="109" t="str">
        <f t="shared" si="24"/>
        <v/>
      </c>
      <c r="AJ24" s="109" t="str">
        <f t="shared" si="24"/>
        <v/>
      </c>
      <c r="AK24" s="109" t="str">
        <f t="shared" si="24"/>
        <v/>
      </c>
      <c r="AL24" s="109" t="str">
        <f t="shared" si="24"/>
        <v/>
      </c>
      <c r="AM24" s="109" t="str">
        <f t="shared" si="24"/>
        <v/>
      </c>
      <c r="AN24" s="109" t="str">
        <f t="shared" si="25"/>
        <v/>
      </c>
      <c r="AO24" s="109" t="str">
        <f t="shared" si="25"/>
        <v/>
      </c>
      <c r="AP24" s="109" t="str">
        <f t="shared" si="25"/>
        <v/>
      </c>
      <c r="AQ24" s="109" t="str">
        <f t="shared" si="25"/>
        <v/>
      </c>
      <c r="AR24" s="109" t="str">
        <f t="shared" si="25"/>
        <v/>
      </c>
      <c r="AS24" s="109" t="str">
        <f t="shared" si="25"/>
        <v/>
      </c>
      <c r="AT24" s="109" t="str">
        <f t="shared" si="25"/>
        <v/>
      </c>
      <c r="AU24" s="109" t="str">
        <f t="shared" si="25"/>
        <v/>
      </c>
      <c r="AV24" s="109" t="str">
        <f t="shared" si="25"/>
        <v/>
      </c>
      <c r="AW24" s="109" t="str">
        <f t="shared" si="25"/>
        <v/>
      </c>
      <c r="AX24" s="109" t="str">
        <f t="shared" si="26"/>
        <v/>
      </c>
      <c r="AY24" s="109" t="str">
        <f t="shared" si="26"/>
        <v/>
      </c>
      <c r="AZ24" s="109" t="str">
        <f t="shared" si="26"/>
        <v/>
      </c>
      <c r="BA24" s="109" t="str">
        <f t="shared" si="26"/>
        <v/>
      </c>
      <c r="BB24" s="109" t="str">
        <f t="shared" si="26"/>
        <v/>
      </c>
      <c r="BC24" s="109" t="str">
        <f t="shared" si="26"/>
        <v/>
      </c>
      <c r="BD24" s="109" t="str">
        <f t="shared" si="26"/>
        <v/>
      </c>
      <c r="BE24" s="109" t="str">
        <f t="shared" si="26"/>
        <v/>
      </c>
      <c r="BF24" s="109" t="str">
        <f t="shared" si="26"/>
        <v/>
      </c>
      <c r="BG24" s="109" t="str">
        <f t="shared" si="26"/>
        <v/>
      </c>
      <c r="BH24" s="109" t="str">
        <f t="shared" si="27"/>
        <v/>
      </c>
      <c r="BI24" s="109" t="str">
        <f t="shared" si="27"/>
        <v/>
      </c>
      <c r="BJ24" s="109" t="str">
        <f t="shared" si="27"/>
        <v/>
      </c>
      <c r="BK24" s="109" t="str">
        <f t="shared" si="27"/>
        <v/>
      </c>
      <c r="BL24" s="109" t="str">
        <f t="shared" si="27"/>
        <v/>
      </c>
      <c r="BM24" s="109" t="str">
        <f t="shared" si="27"/>
        <v/>
      </c>
      <c r="BN24" s="109" t="str">
        <f t="shared" si="27"/>
        <v/>
      </c>
      <c r="BO24" s="109" t="str">
        <f t="shared" si="27"/>
        <v/>
      </c>
      <c r="BP24" s="109" t="str">
        <f t="shared" si="27"/>
        <v/>
      </c>
      <c r="BQ24" s="109" t="str">
        <f t="shared" si="27"/>
        <v/>
      </c>
      <c r="BR24" s="109" t="str">
        <f t="shared" si="28"/>
        <v/>
      </c>
      <c r="BS24" s="109" t="str">
        <f t="shared" si="28"/>
        <v/>
      </c>
      <c r="BT24" s="109" t="str">
        <f t="shared" si="28"/>
        <v/>
      </c>
      <c r="BU24" s="109" t="str">
        <f t="shared" si="28"/>
        <v/>
      </c>
      <c r="BV24" s="109" t="str">
        <f t="shared" si="28"/>
        <v/>
      </c>
      <c r="BW24" s="109" t="str">
        <f t="shared" si="28"/>
        <v/>
      </c>
      <c r="BX24" s="109" t="str">
        <f t="shared" si="28"/>
        <v/>
      </c>
      <c r="BY24" s="109" t="str">
        <f t="shared" si="28"/>
        <v/>
      </c>
      <c r="BZ24" s="109" t="str">
        <f t="shared" si="28"/>
        <v/>
      </c>
      <c r="CA24" s="109" t="str">
        <f t="shared" si="28"/>
        <v/>
      </c>
      <c r="CB24" s="109" t="str">
        <f t="shared" si="29"/>
        <v/>
      </c>
      <c r="CC24" s="109" t="str">
        <f t="shared" si="29"/>
        <v/>
      </c>
      <c r="CD24" s="109" t="str">
        <f t="shared" si="29"/>
        <v/>
      </c>
      <c r="CE24" s="109" t="str">
        <f t="shared" si="29"/>
        <v/>
      </c>
      <c r="CF24" s="109" t="str">
        <f t="shared" si="29"/>
        <v/>
      </c>
      <c r="CG24" s="109" t="str">
        <f t="shared" si="29"/>
        <v/>
      </c>
      <c r="CH24" s="109" t="str">
        <f t="shared" si="29"/>
        <v/>
      </c>
      <c r="CI24" s="109" t="str">
        <f t="shared" si="29"/>
        <v/>
      </c>
      <c r="CJ24" s="109" t="str">
        <f t="shared" si="29"/>
        <v/>
      </c>
      <c r="CK24" s="109" t="str">
        <f t="shared" si="29"/>
        <v/>
      </c>
      <c r="CL24" s="109" t="str">
        <f t="shared" si="30"/>
        <v/>
      </c>
      <c r="CM24" s="109" t="str">
        <f t="shared" si="30"/>
        <v/>
      </c>
      <c r="CN24" s="109" t="str">
        <f t="shared" si="30"/>
        <v/>
      </c>
      <c r="CO24" s="109" t="str">
        <f t="shared" si="30"/>
        <v/>
      </c>
      <c r="CP24" s="109" t="str">
        <f t="shared" si="30"/>
        <v/>
      </c>
      <c r="CQ24" s="109" t="str">
        <f t="shared" si="30"/>
        <v/>
      </c>
      <c r="CR24" s="109" t="str">
        <f t="shared" si="30"/>
        <v/>
      </c>
      <c r="CS24" s="109" t="str">
        <f t="shared" si="30"/>
        <v/>
      </c>
      <c r="CT24" s="109" t="str">
        <f t="shared" si="30"/>
        <v/>
      </c>
      <c r="CU24" s="109" t="str">
        <f t="shared" si="30"/>
        <v/>
      </c>
      <c r="CV24" s="109" t="str">
        <f t="shared" si="31"/>
        <v/>
      </c>
      <c r="CW24" s="109" t="str">
        <f t="shared" si="31"/>
        <v/>
      </c>
      <c r="CX24" s="109" t="str">
        <f t="shared" si="31"/>
        <v/>
      </c>
      <c r="CY24" s="109" t="str">
        <f t="shared" si="31"/>
        <v/>
      </c>
      <c r="CZ24" s="109" t="str">
        <f t="shared" si="31"/>
        <v/>
      </c>
      <c r="DA24" s="109" t="str">
        <f t="shared" si="31"/>
        <v/>
      </c>
      <c r="DB24" s="109" t="str">
        <f t="shared" si="31"/>
        <v/>
      </c>
      <c r="DC24" s="109" t="str">
        <f t="shared" si="31"/>
        <v/>
      </c>
    </row>
    <row r="25" spans="1:107" ht="26.25" customHeight="1" x14ac:dyDescent="0.25">
      <c r="A25" s="92" t="s">
        <v>373</v>
      </c>
      <c r="B25" s="76" t="s">
        <v>375</v>
      </c>
      <c r="C25" s="77" t="s">
        <v>474</v>
      </c>
      <c r="D25" s="77" t="s">
        <v>475</v>
      </c>
      <c r="E25" s="94">
        <v>46114</v>
      </c>
      <c r="F25" s="108">
        <v>3</v>
      </c>
      <c r="G25" s="110">
        <f t="shared" si="0"/>
        <v>46116</v>
      </c>
      <c r="H25" s="102">
        <v>0</v>
      </c>
      <c r="I25" s="97" t="str">
        <f t="shared" ca="1" si="1"/>
        <v>Late</v>
      </c>
      <c r="J25" s="109" t="str">
        <f t="shared" si="22"/>
        <v/>
      </c>
      <c r="K25" s="109" t="str">
        <f t="shared" si="22"/>
        <v/>
      </c>
      <c r="L25" s="109" t="str">
        <f t="shared" si="22"/>
        <v/>
      </c>
      <c r="M25" s="109">
        <f t="shared" si="22"/>
        <v>1</v>
      </c>
      <c r="N25" s="109">
        <f t="shared" si="22"/>
        <v>1</v>
      </c>
      <c r="O25" s="109">
        <f t="shared" si="22"/>
        <v>1</v>
      </c>
      <c r="P25" s="109" t="str">
        <f t="shared" si="22"/>
        <v/>
      </c>
      <c r="Q25" s="109" t="str">
        <f t="shared" si="22"/>
        <v/>
      </c>
      <c r="R25" s="109" t="str">
        <f t="shared" si="22"/>
        <v/>
      </c>
      <c r="S25" s="109" t="str">
        <f t="shared" si="22"/>
        <v/>
      </c>
      <c r="T25" s="109" t="str">
        <f t="shared" si="23"/>
        <v/>
      </c>
      <c r="U25" s="109" t="str">
        <f t="shared" si="23"/>
        <v/>
      </c>
      <c r="V25" s="109" t="str">
        <f t="shared" si="23"/>
        <v/>
      </c>
      <c r="W25" s="109" t="str">
        <f t="shared" si="23"/>
        <v/>
      </c>
      <c r="X25" s="109" t="str">
        <f t="shared" si="23"/>
        <v/>
      </c>
      <c r="Y25" s="109" t="str">
        <f t="shared" si="23"/>
        <v/>
      </c>
      <c r="Z25" s="109" t="str">
        <f t="shared" si="23"/>
        <v/>
      </c>
      <c r="AA25" s="109" t="str">
        <f t="shared" si="23"/>
        <v/>
      </c>
      <c r="AB25" s="109" t="str">
        <f t="shared" si="23"/>
        <v/>
      </c>
      <c r="AC25" s="109" t="str">
        <f t="shared" si="23"/>
        <v/>
      </c>
      <c r="AD25" s="109" t="str">
        <f t="shared" si="24"/>
        <v/>
      </c>
      <c r="AE25" s="109" t="str">
        <f t="shared" si="24"/>
        <v/>
      </c>
      <c r="AF25" s="109" t="str">
        <f t="shared" si="24"/>
        <v/>
      </c>
      <c r="AG25" s="109" t="str">
        <f t="shared" si="24"/>
        <v/>
      </c>
      <c r="AH25" s="109" t="str">
        <f t="shared" si="24"/>
        <v/>
      </c>
      <c r="AI25" s="109" t="str">
        <f t="shared" si="24"/>
        <v/>
      </c>
      <c r="AJ25" s="109" t="str">
        <f t="shared" si="24"/>
        <v/>
      </c>
      <c r="AK25" s="109" t="str">
        <f t="shared" si="24"/>
        <v/>
      </c>
      <c r="AL25" s="109" t="str">
        <f t="shared" si="24"/>
        <v/>
      </c>
      <c r="AM25" s="109" t="str">
        <f t="shared" si="24"/>
        <v/>
      </c>
      <c r="AN25" s="109" t="str">
        <f t="shared" si="25"/>
        <v/>
      </c>
      <c r="AO25" s="109" t="str">
        <f t="shared" si="25"/>
        <v/>
      </c>
      <c r="AP25" s="109" t="str">
        <f t="shared" si="25"/>
        <v/>
      </c>
      <c r="AQ25" s="109" t="str">
        <f t="shared" si="25"/>
        <v/>
      </c>
      <c r="AR25" s="109" t="str">
        <f t="shared" si="25"/>
        <v/>
      </c>
      <c r="AS25" s="109" t="str">
        <f t="shared" si="25"/>
        <v/>
      </c>
      <c r="AT25" s="109" t="str">
        <f t="shared" si="25"/>
        <v/>
      </c>
      <c r="AU25" s="109" t="str">
        <f t="shared" si="25"/>
        <v/>
      </c>
      <c r="AV25" s="109" t="str">
        <f t="shared" si="25"/>
        <v/>
      </c>
      <c r="AW25" s="109" t="str">
        <f t="shared" si="25"/>
        <v/>
      </c>
      <c r="AX25" s="109" t="str">
        <f t="shared" si="26"/>
        <v/>
      </c>
      <c r="AY25" s="109" t="str">
        <f t="shared" si="26"/>
        <v/>
      </c>
      <c r="AZ25" s="109" t="str">
        <f t="shared" si="26"/>
        <v/>
      </c>
      <c r="BA25" s="109" t="str">
        <f t="shared" si="26"/>
        <v/>
      </c>
      <c r="BB25" s="109" t="str">
        <f t="shared" si="26"/>
        <v/>
      </c>
      <c r="BC25" s="109" t="str">
        <f t="shared" si="26"/>
        <v/>
      </c>
      <c r="BD25" s="109" t="str">
        <f t="shared" si="26"/>
        <v/>
      </c>
      <c r="BE25" s="109" t="str">
        <f t="shared" si="26"/>
        <v/>
      </c>
      <c r="BF25" s="109" t="str">
        <f t="shared" si="26"/>
        <v/>
      </c>
      <c r="BG25" s="109" t="str">
        <f t="shared" si="26"/>
        <v/>
      </c>
      <c r="BH25" s="109" t="str">
        <f t="shared" si="27"/>
        <v/>
      </c>
      <c r="BI25" s="109" t="str">
        <f t="shared" si="27"/>
        <v/>
      </c>
      <c r="BJ25" s="109" t="str">
        <f t="shared" si="27"/>
        <v/>
      </c>
      <c r="BK25" s="109" t="str">
        <f t="shared" si="27"/>
        <v/>
      </c>
      <c r="BL25" s="109" t="str">
        <f t="shared" si="27"/>
        <v/>
      </c>
      <c r="BM25" s="109" t="str">
        <f t="shared" si="27"/>
        <v/>
      </c>
      <c r="BN25" s="109" t="str">
        <f t="shared" si="27"/>
        <v/>
      </c>
      <c r="BO25" s="109" t="str">
        <f t="shared" si="27"/>
        <v/>
      </c>
      <c r="BP25" s="109" t="str">
        <f t="shared" si="27"/>
        <v/>
      </c>
      <c r="BQ25" s="109" t="str">
        <f t="shared" si="27"/>
        <v/>
      </c>
      <c r="BR25" s="109" t="str">
        <f t="shared" si="28"/>
        <v/>
      </c>
      <c r="BS25" s="109" t="str">
        <f t="shared" si="28"/>
        <v/>
      </c>
      <c r="BT25" s="109" t="str">
        <f t="shared" si="28"/>
        <v/>
      </c>
      <c r="BU25" s="109" t="str">
        <f t="shared" si="28"/>
        <v/>
      </c>
      <c r="BV25" s="109" t="str">
        <f t="shared" si="28"/>
        <v/>
      </c>
      <c r="BW25" s="109" t="str">
        <f t="shared" si="28"/>
        <v/>
      </c>
      <c r="BX25" s="109" t="str">
        <f t="shared" si="28"/>
        <v/>
      </c>
      <c r="BY25" s="109" t="str">
        <f t="shared" si="28"/>
        <v/>
      </c>
      <c r="BZ25" s="109" t="str">
        <f t="shared" si="28"/>
        <v/>
      </c>
      <c r="CA25" s="109" t="str">
        <f t="shared" si="28"/>
        <v/>
      </c>
      <c r="CB25" s="109" t="str">
        <f t="shared" si="29"/>
        <v/>
      </c>
      <c r="CC25" s="109" t="str">
        <f t="shared" si="29"/>
        <v/>
      </c>
      <c r="CD25" s="109" t="str">
        <f t="shared" si="29"/>
        <v/>
      </c>
      <c r="CE25" s="109" t="str">
        <f t="shared" si="29"/>
        <v/>
      </c>
      <c r="CF25" s="109" t="str">
        <f t="shared" si="29"/>
        <v/>
      </c>
      <c r="CG25" s="109" t="str">
        <f t="shared" si="29"/>
        <v/>
      </c>
      <c r="CH25" s="109" t="str">
        <f t="shared" si="29"/>
        <v/>
      </c>
      <c r="CI25" s="109" t="str">
        <f t="shared" si="29"/>
        <v/>
      </c>
      <c r="CJ25" s="109" t="str">
        <f t="shared" si="29"/>
        <v/>
      </c>
      <c r="CK25" s="109" t="str">
        <f t="shared" si="29"/>
        <v/>
      </c>
      <c r="CL25" s="109" t="str">
        <f t="shared" si="30"/>
        <v/>
      </c>
      <c r="CM25" s="109" t="str">
        <f t="shared" si="30"/>
        <v/>
      </c>
      <c r="CN25" s="109" t="str">
        <f t="shared" si="30"/>
        <v/>
      </c>
      <c r="CO25" s="109" t="str">
        <f t="shared" si="30"/>
        <v/>
      </c>
      <c r="CP25" s="109" t="str">
        <f t="shared" si="30"/>
        <v/>
      </c>
      <c r="CQ25" s="109" t="str">
        <f t="shared" si="30"/>
        <v/>
      </c>
      <c r="CR25" s="109" t="str">
        <f t="shared" si="30"/>
        <v/>
      </c>
      <c r="CS25" s="109" t="str">
        <f t="shared" si="30"/>
        <v/>
      </c>
      <c r="CT25" s="109" t="str">
        <f t="shared" si="30"/>
        <v/>
      </c>
      <c r="CU25" s="109" t="str">
        <f t="shared" si="30"/>
        <v/>
      </c>
      <c r="CV25" s="109" t="str">
        <f t="shared" si="31"/>
        <v/>
      </c>
      <c r="CW25" s="109" t="str">
        <f t="shared" si="31"/>
        <v/>
      </c>
      <c r="CX25" s="109" t="str">
        <f t="shared" si="31"/>
        <v/>
      </c>
      <c r="CY25" s="109" t="str">
        <f t="shared" si="31"/>
        <v/>
      </c>
      <c r="CZ25" s="109" t="str">
        <f t="shared" si="31"/>
        <v/>
      </c>
      <c r="DA25" s="109" t="str">
        <f t="shared" si="31"/>
        <v/>
      </c>
      <c r="DB25" s="109" t="str">
        <f t="shared" si="31"/>
        <v/>
      </c>
      <c r="DC25" s="109" t="str">
        <f t="shared" si="31"/>
        <v/>
      </c>
    </row>
    <row r="26" spans="1:107" ht="26.25" customHeight="1" x14ac:dyDescent="0.25">
      <c r="A26" s="92" t="s">
        <v>373</v>
      </c>
      <c r="B26" s="76" t="s">
        <v>375</v>
      </c>
      <c r="C26" s="77" t="s">
        <v>476</v>
      </c>
      <c r="D26" s="77" t="s">
        <v>476</v>
      </c>
      <c r="E26" s="94">
        <v>46117</v>
      </c>
      <c r="F26" s="108">
        <v>1</v>
      </c>
      <c r="G26" s="110">
        <f t="shared" si="0"/>
        <v>46117</v>
      </c>
      <c r="H26" s="102">
        <v>0</v>
      </c>
      <c r="I26" s="97" t="str">
        <f t="shared" ca="1" si="1"/>
        <v>Late</v>
      </c>
      <c r="J26" s="109" t="str">
        <f t="shared" si="22"/>
        <v/>
      </c>
      <c r="K26" s="109" t="str">
        <f t="shared" si="22"/>
        <v/>
      </c>
      <c r="L26" s="109" t="str">
        <f t="shared" si="22"/>
        <v/>
      </c>
      <c r="M26" s="109" t="str">
        <f t="shared" si="22"/>
        <v/>
      </c>
      <c r="N26" s="109" t="str">
        <f t="shared" si="22"/>
        <v/>
      </c>
      <c r="O26" s="109" t="str">
        <f t="shared" si="22"/>
        <v/>
      </c>
      <c r="P26" s="109">
        <f t="shared" si="22"/>
        <v>1</v>
      </c>
      <c r="Q26" s="109" t="str">
        <f t="shared" si="22"/>
        <v/>
      </c>
      <c r="R26" s="109" t="str">
        <f t="shared" si="22"/>
        <v/>
      </c>
      <c r="S26" s="109" t="str">
        <f t="shared" si="22"/>
        <v/>
      </c>
      <c r="T26" s="109" t="str">
        <f t="shared" si="23"/>
        <v/>
      </c>
      <c r="U26" s="109" t="str">
        <f t="shared" si="23"/>
        <v/>
      </c>
      <c r="V26" s="109" t="str">
        <f t="shared" si="23"/>
        <v/>
      </c>
      <c r="W26" s="109" t="str">
        <f t="shared" si="23"/>
        <v/>
      </c>
      <c r="X26" s="109" t="str">
        <f t="shared" si="23"/>
        <v/>
      </c>
      <c r="Y26" s="109" t="str">
        <f t="shared" si="23"/>
        <v/>
      </c>
      <c r="Z26" s="109" t="str">
        <f t="shared" si="23"/>
        <v/>
      </c>
      <c r="AA26" s="109" t="str">
        <f t="shared" si="23"/>
        <v/>
      </c>
      <c r="AB26" s="109" t="str">
        <f t="shared" si="23"/>
        <v/>
      </c>
      <c r="AC26" s="109" t="str">
        <f t="shared" si="23"/>
        <v/>
      </c>
      <c r="AD26" s="109" t="str">
        <f t="shared" si="24"/>
        <v/>
      </c>
      <c r="AE26" s="109" t="str">
        <f t="shared" si="24"/>
        <v/>
      </c>
      <c r="AF26" s="109" t="str">
        <f t="shared" si="24"/>
        <v/>
      </c>
      <c r="AG26" s="109" t="str">
        <f t="shared" si="24"/>
        <v/>
      </c>
      <c r="AH26" s="109" t="str">
        <f t="shared" si="24"/>
        <v/>
      </c>
      <c r="AI26" s="109" t="str">
        <f t="shared" si="24"/>
        <v/>
      </c>
      <c r="AJ26" s="109" t="str">
        <f t="shared" si="24"/>
        <v/>
      </c>
      <c r="AK26" s="109" t="str">
        <f t="shared" si="24"/>
        <v/>
      </c>
      <c r="AL26" s="109" t="str">
        <f t="shared" si="24"/>
        <v/>
      </c>
      <c r="AM26" s="109" t="str">
        <f t="shared" si="24"/>
        <v/>
      </c>
      <c r="AN26" s="109" t="str">
        <f t="shared" si="25"/>
        <v/>
      </c>
      <c r="AO26" s="109" t="str">
        <f t="shared" si="25"/>
        <v/>
      </c>
      <c r="AP26" s="109" t="str">
        <f t="shared" si="25"/>
        <v/>
      </c>
      <c r="AQ26" s="109" t="str">
        <f t="shared" si="25"/>
        <v/>
      </c>
      <c r="AR26" s="109" t="str">
        <f t="shared" si="25"/>
        <v/>
      </c>
      <c r="AS26" s="109" t="str">
        <f t="shared" si="25"/>
        <v/>
      </c>
      <c r="AT26" s="109" t="str">
        <f t="shared" si="25"/>
        <v/>
      </c>
      <c r="AU26" s="109" t="str">
        <f t="shared" si="25"/>
        <v/>
      </c>
      <c r="AV26" s="109" t="str">
        <f t="shared" si="25"/>
        <v/>
      </c>
      <c r="AW26" s="109" t="str">
        <f t="shared" si="25"/>
        <v/>
      </c>
      <c r="AX26" s="109" t="str">
        <f t="shared" si="26"/>
        <v/>
      </c>
      <c r="AY26" s="109" t="str">
        <f t="shared" si="26"/>
        <v/>
      </c>
      <c r="AZ26" s="109" t="str">
        <f t="shared" si="26"/>
        <v/>
      </c>
      <c r="BA26" s="109" t="str">
        <f t="shared" si="26"/>
        <v/>
      </c>
      <c r="BB26" s="109" t="str">
        <f t="shared" si="26"/>
        <v/>
      </c>
      <c r="BC26" s="109" t="str">
        <f t="shared" si="26"/>
        <v/>
      </c>
      <c r="BD26" s="109" t="str">
        <f t="shared" si="26"/>
        <v/>
      </c>
      <c r="BE26" s="109" t="str">
        <f t="shared" si="26"/>
        <v/>
      </c>
      <c r="BF26" s="109" t="str">
        <f t="shared" si="26"/>
        <v/>
      </c>
      <c r="BG26" s="109" t="str">
        <f t="shared" si="26"/>
        <v/>
      </c>
      <c r="BH26" s="109" t="str">
        <f t="shared" si="27"/>
        <v/>
      </c>
      <c r="BI26" s="109" t="str">
        <f t="shared" si="27"/>
        <v/>
      </c>
      <c r="BJ26" s="109" t="str">
        <f t="shared" si="27"/>
        <v/>
      </c>
      <c r="BK26" s="109" t="str">
        <f t="shared" si="27"/>
        <v/>
      </c>
      <c r="BL26" s="109" t="str">
        <f t="shared" si="27"/>
        <v/>
      </c>
      <c r="BM26" s="109" t="str">
        <f t="shared" si="27"/>
        <v/>
      </c>
      <c r="BN26" s="109" t="str">
        <f t="shared" si="27"/>
        <v/>
      </c>
      <c r="BO26" s="109" t="str">
        <f t="shared" si="27"/>
        <v/>
      </c>
      <c r="BP26" s="109" t="str">
        <f t="shared" si="27"/>
        <v/>
      </c>
      <c r="BQ26" s="109" t="str">
        <f t="shared" si="27"/>
        <v/>
      </c>
      <c r="BR26" s="109" t="str">
        <f t="shared" si="28"/>
        <v/>
      </c>
      <c r="BS26" s="109" t="str">
        <f t="shared" si="28"/>
        <v/>
      </c>
      <c r="BT26" s="109" t="str">
        <f t="shared" si="28"/>
        <v/>
      </c>
      <c r="BU26" s="109" t="str">
        <f t="shared" si="28"/>
        <v/>
      </c>
      <c r="BV26" s="109" t="str">
        <f t="shared" si="28"/>
        <v/>
      </c>
      <c r="BW26" s="109" t="str">
        <f t="shared" si="28"/>
        <v/>
      </c>
      <c r="BX26" s="109" t="str">
        <f t="shared" si="28"/>
        <v/>
      </c>
      <c r="BY26" s="109" t="str">
        <f t="shared" si="28"/>
        <v/>
      </c>
      <c r="BZ26" s="109" t="str">
        <f t="shared" si="28"/>
        <v/>
      </c>
      <c r="CA26" s="109" t="str">
        <f t="shared" si="28"/>
        <v/>
      </c>
      <c r="CB26" s="109" t="str">
        <f t="shared" si="29"/>
        <v/>
      </c>
      <c r="CC26" s="109" t="str">
        <f t="shared" si="29"/>
        <v/>
      </c>
      <c r="CD26" s="109" t="str">
        <f t="shared" si="29"/>
        <v/>
      </c>
      <c r="CE26" s="109" t="str">
        <f t="shared" si="29"/>
        <v/>
      </c>
      <c r="CF26" s="109" t="str">
        <f t="shared" si="29"/>
        <v/>
      </c>
      <c r="CG26" s="109" t="str">
        <f t="shared" si="29"/>
        <v/>
      </c>
      <c r="CH26" s="109" t="str">
        <f t="shared" si="29"/>
        <v/>
      </c>
      <c r="CI26" s="109" t="str">
        <f t="shared" si="29"/>
        <v/>
      </c>
      <c r="CJ26" s="109" t="str">
        <f t="shared" si="29"/>
        <v/>
      </c>
      <c r="CK26" s="109" t="str">
        <f t="shared" si="29"/>
        <v/>
      </c>
      <c r="CL26" s="109" t="str">
        <f t="shared" si="30"/>
        <v/>
      </c>
      <c r="CM26" s="109" t="str">
        <f t="shared" si="30"/>
        <v/>
      </c>
      <c r="CN26" s="109" t="str">
        <f t="shared" si="30"/>
        <v/>
      </c>
      <c r="CO26" s="109" t="str">
        <f t="shared" si="30"/>
        <v/>
      </c>
      <c r="CP26" s="109" t="str">
        <f t="shared" si="30"/>
        <v/>
      </c>
      <c r="CQ26" s="109" t="str">
        <f t="shared" si="30"/>
        <v/>
      </c>
      <c r="CR26" s="109" t="str">
        <f t="shared" si="30"/>
        <v/>
      </c>
      <c r="CS26" s="109" t="str">
        <f t="shared" si="30"/>
        <v/>
      </c>
      <c r="CT26" s="109" t="str">
        <f t="shared" si="30"/>
        <v/>
      </c>
      <c r="CU26" s="109" t="str">
        <f t="shared" si="30"/>
        <v/>
      </c>
      <c r="CV26" s="109" t="str">
        <f t="shared" si="31"/>
        <v/>
      </c>
      <c r="CW26" s="109" t="str">
        <f t="shared" si="31"/>
        <v/>
      </c>
      <c r="CX26" s="109" t="str">
        <f t="shared" si="31"/>
        <v/>
      </c>
      <c r="CY26" s="109" t="str">
        <f t="shared" si="31"/>
        <v/>
      </c>
      <c r="CZ26" s="109" t="str">
        <f t="shared" si="31"/>
        <v/>
      </c>
      <c r="DA26" s="109" t="str">
        <f t="shared" si="31"/>
        <v/>
      </c>
      <c r="DB26" s="109" t="str">
        <f t="shared" si="31"/>
        <v/>
      </c>
      <c r="DC26" s="109" t="str">
        <f t="shared" si="31"/>
        <v/>
      </c>
    </row>
    <row r="27" spans="1:107" ht="26.25" customHeight="1" x14ac:dyDescent="0.25">
      <c r="A27" s="92" t="s">
        <v>373</v>
      </c>
      <c r="B27" s="76" t="s">
        <v>375</v>
      </c>
      <c r="C27" s="77" t="s">
        <v>477</v>
      </c>
      <c r="D27" s="77" t="s">
        <v>477</v>
      </c>
      <c r="E27" s="94">
        <v>46118</v>
      </c>
      <c r="F27" s="108">
        <v>1</v>
      </c>
      <c r="G27" s="110">
        <f t="shared" si="0"/>
        <v>46118</v>
      </c>
      <c r="H27" s="102">
        <v>0</v>
      </c>
      <c r="I27" s="97" t="str">
        <f t="shared" ca="1" si="1"/>
        <v>Late</v>
      </c>
      <c r="J27" s="109" t="str">
        <f t="shared" si="22"/>
        <v/>
      </c>
      <c r="K27" s="109" t="str">
        <f t="shared" si="22"/>
        <v/>
      </c>
      <c r="L27" s="109" t="str">
        <f t="shared" si="22"/>
        <v/>
      </c>
      <c r="M27" s="109" t="str">
        <f t="shared" si="22"/>
        <v/>
      </c>
      <c r="N27" s="109" t="str">
        <f t="shared" si="22"/>
        <v/>
      </c>
      <c r="O27" s="109" t="str">
        <f t="shared" si="22"/>
        <v/>
      </c>
      <c r="P27" s="109" t="str">
        <f t="shared" si="22"/>
        <v/>
      </c>
      <c r="Q27" s="109">
        <f t="shared" si="22"/>
        <v>1</v>
      </c>
      <c r="R27" s="109" t="str">
        <f t="shared" si="22"/>
        <v/>
      </c>
      <c r="S27" s="109" t="str">
        <f t="shared" si="22"/>
        <v/>
      </c>
      <c r="T27" s="109" t="str">
        <f t="shared" si="23"/>
        <v/>
      </c>
      <c r="U27" s="109" t="str">
        <f t="shared" si="23"/>
        <v/>
      </c>
      <c r="V27" s="109" t="str">
        <f t="shared" si="23"/>
        <v/>
      </c>
      <c r="W27" s="109" t="str">
        <f t="shared" si="23"/>
        <v/>
      </c>
      <c r="X27" s="109" t="str">
        <f t="shared" si="23"/>
        <v/>
      </c>
      <c r="Y27" s="109" t="str">
        <f t="shared" si="23"/>
        <v/>
      </c>
      <c r="Z27" s="109" t="str">
        <f t="shared" si="23"/>
        <v/>
      </c>
      <c r="AA27" s="109" t="str">
        <f t="shared" si="23"/>
        <v/>
      </c>
      <c r="AB27" s="109" t="str">
        <f t="shared" si="23"/>
        <v/>
      </c>
      <c r="AC27" s="109" t="str">
        <f t="shared" si="23"/>
        <v/>
      </c>
      <c r="AD27" s="109" t="str">
        <f t="shared" si="24"/>
        <v/>
      </c>
      <c r="AE27" s="109" t="str">
        <f t="shared" si="24"/>
        <v/>
      </c>
      <c r="AF27" s="109" t="str">
        <f t="shared" si="24"/>
        <v/>
      </c>
      <c r="AG27" s="109" t="str">
        <f t="shared" si="24"/>
        <v/>
      </c>
      <c r="AH27" s="109" t="str">
        <f t="shared" si="24"/>
        <v/>
      </c>
      <c r="AI27" s="109" t="str">
        <f t="shared" si="24"/>
        <v/>
      </c>
      <c r="AJ27" s="109" t="str">
        <f t="shared" si="24"/>
        <v/>
      </c>
      <c r="AK27" s="109" t="str">
        <f t="shared" si="24"/>
        <v/>
      </c>
      <c r="AL27" s="109" t="str">
        <f t="shared" si="24"/>
        <v/>
      </c>
      <c r="AM27" s="109" t="str">
        <f t="shared" si="24"/>
        <v/>
      </c>
      <c r="AN27" s="109" t="str">
        <f t="shared" si="25"/>
        <v/>
      </c>
      <c r="AO27" s="109" t="str">
        <f t="shared" si="25"/>
        <v/>
      </c>
      <c r="AP27" s="109" t="str">
        <f t="shared" si="25"/>
        <v/>
      </c>
      <c r="AQ27" s="109" t="str">
        <f t="shared" si="25"/>
        <v/>
      </c>
      <c r="AR27" s="109" t="str">
        <f t="shared" si="25"/>
        <v/>
      </c>
      <c r="AS27" s="109" t="str">
        <f t="shared" si="25"/>
        <v/>
      </c>
      <c r="AT27" s="109" t="str">
        <f t="shared" si="25"/>
        <v/>
      </c>
      <c r="AU27" s="109" t="str">
        <f t="shared" si="25"/>
        <v/>
      </c>
      <c r="AV27" s="109" t="str">
        <f t="shared" si="25"/>
        <v/>
      </c>
      <c r="AW27" s="109" t="str">
        <f t="shared" si="25"/>
        <v/>
      </c>
      <c r="AX27" s="109" t="str">
        <f t="shared" si="26"/>
        <v/>
      </c>
      <c r="AY27" s="109" t="str">
        <f t="shared" si="26"/>
        <v/>
      </c>
      <c r="AZ27" s="109" t="str">
        <f t="shared" si="26"/>
        <v/>
      </c>
      <c r="BA27" s="109" t="str">
        <f t="shared" si="26"/>
        <v/>
      </c>
      <c r="BB27" s="109" t="str">
        <f t="shared" si="26"/>
        <v/>
      </c>
      <c r="BC27" s="109" t="str">
        <f t="shared" si="26"/>
        <v/>
      </c>
      <c r="BD27" s="109" t="str">
        <f t="shared" si="26"/>
        <v/>
      </c>
      <c r="BE27" s="109" t="str">
        <f t="shared" si="26"/>
        <v/>
      </c>
      <c r="BF27" s="109" t="str">
        <f t="shared" si="26"/>
        <v/>
      </c>
      <c r="BG27" s="109" t="str">
        <f t="shared" si="26"/>
        <v/>
      </c>
      <c r="BH27" s="109" t="str">
        <f t="shared" si="27"/>
        <v/>
      </c>
      <c r="BI27" s="109" t="str">
        <f t="shared" si="27"/>
        <v/>
      </c>
      <c r="BJ27" s="109" t="str">
        <f t="shared" si="27"/>
        <v/>
      </c>
      <c r="BK27" s="109" t="str">
        <f t="shared" si="27"/>
        <v/>
      </c>
      <c r="BL27" s="109" t="str">
        <f t="shared" si="27"/>
        <v/>
      </c>
      <c r="BM27" s="109" t="str">
        <f t="shared" si="27"/>
        <v/>
      </c>
      <c r="BN27" s="109" t="str">
        <f t="shared" si="27"/>
        <v/>
      </c>
      <c r="BO27" s="109" t="str">
        <f t="shared" si="27"/>
        <v/>
      </c>
      <c r="BP27" s="109" t="str">
        <f t="shared" si="27"/>
        <v/>
      </c>
      <c r="BQ27" s="109" t="str">
        <f t="shared" si="27"/>
        <v/>
      </c>
      <c r="BR27" s="109" t="str">
        <f t="shared" si="28"/>
        <v/>
      </c>
      <c r="BS27" s="109" t="str">
        <f t="shared" si="28"/>
        <v/>
      </c>
      <c r="BT27" s="109" t="str">
        <f t="shared" si="28"/>
        <v/>
      </c>
      <c r="BU27" s="109" t="str">
        <f t="shared" si="28"/>
        <v/>
      </c>
      <c r="BV27" s="109" t="str">
        <f t="shared" si="28"/>
        <v/>
      </c>
      <c r="BW27" s="109" t="str">
        <f t="shared" si="28"/>
        <v/>
      </c>
      <c r="BX27" s="109" t="str">
        <f t="shared" si="28"/>
        <v/>
      </c>
      <c r="BY27" s="109" t="str">
        <f t="shared" si="28"/>
        <v/>
      </c>
      <c r="BZ27" s="109" t="str">
        <f t="shared" si="28"/>
        <v/>
      </c>
      <c r="CA27" s="109" t="str">
        <f t="shared" si="28"/>
        <v/>
      </c>
      <c r="CB27" s="109" t="str">
        <f t="shared" si="29"/>
        <v/>
      </c>
      <c r="CC27" s="109" t="str">
        <f t="shared" si="29"/>
        <v/>
      </c>
      <c r="CD27" s="109" t="str">
        <f t="shared" si="29"/>
        <v/>
      </c>
      <c r="CE27" s="109" t="str">
        <f t="shared" si="29"/>
        <v/>
      </c>
      <c r="CF27" s="109" t="str">
        <f t="shared" si="29"/>
        <v/>
      </c>
      <c r="CG27" s="109" t="str">
        <f t="shared" si="29"/>
        <v/>
      </c>
      <c r="CH27" s="109" t="str">
        <f t="shared" si="29"/>
        <v/>
      </c>
      <c r="CI27" s="109" t="str">
        <f t="shared" si="29"/>
        <v/>
      </c>
      <c r="CJ27" s="109" t="str">
        <f t="shared" si="29"/>
        <v/>
      </c>
      <c r="CK27" s="109" t="str">
        <f t="shared" si="29"/>
        <v/>
      </c>
      <c r="CL27" s="109" t="str">
        <f t="shared" si="30"/>
        <v/>
      </c>
      <c r="CM27" s="109" t="str">
        <f t="shared" si="30"/>
        <v/>
      </c>
      <c r="CN27" s="109" t="str">
        <f t="shared" si="30"/>
        <v/>
      </c>
      <c r="CO27" s="109" t="str">
        <f t="shared" si="30"/>
        <v/>
      </c>
      <c r="CP27" s="109" t="str">
        <f t="shared" si="30"/>
        <v/>
      </c>
      <c r="CQ27" s="109" t="str">
        <f t="shared" si="30"/>
        <v/>
      </c>
      <c r="CR27" s="109" t="str">
        <f t="shared" si="30"/>
        <v/>
      </c>
      <c r="CS27" s="109" t="str">
        <f t="shared" si="30"/>
        <v/>
      </c>
      <c r="CT27" s="109" t="str">
        <f t="shared" si="30"/>
        <v/>
      </c>
      <c r="CU27" s="109" t="str">
        <f t="shared" si="30"/>
        <v/>
      </c>
      <c r="CV27" s="109" t="str">
        <f t="shared" si="31"/>
        <v/>
      </c>
      <c r="CW27" s="109" t="str">
        <f t="shared" si="31"/>
        <v/>
      </c>
      <c r="CX27" s="109" t="str">
        <f t="shared" si="31"/>
        <v/>
      </c>
      <c r="CY27" s="109" t="str">
        <f t="shared" si="31"/>
        <v/>
      </c>
      <c r="CZ27" s="109" t="str">
        <f t="shared" si="31"/>
        <v/>
      </c>
      <c r="DA27" s="109" t="str">
        <f t="shared" si="31"/>
        <v/>
      </c>
      <c r="DB27" s="109" t="str">
        <f t="shared" si="31"/>
        <v/>
      </c>
      <c r="DC27" s="109" t="str">
        <f t="shared" si="31"/>
        <v/>
      </c>
    </row>
    <row r="28" spans="1:107" ht="26.25" customHeight="1" x14ac:dyDescent="0.25">
      <c r="A28" s="92" t="s">
        <v>373</v>
      </c>
      <c r="B28" s="76" t="s">
        <v>375</v>
      </c>
      <c r="C28" s="77" t="s">
        <v>478</v>
      </c>
      <c r="D28" s="77" t="s">
        <v>478</v>
      </c>
      <c r="E28" s="94">
        <v>46119</v>
      </c>
      <c r="F28" s="108">
        <v>2</v>
      </c>
      <c r="G28" s="110">
        <f t="shared" si="0"/>
        <v>46120</v>
      </c>
      <c r="H28" s="102">
        <v>0</v>
      </c>
      <c r="I28" s="97" t="str">
        <f t="shared" ca="1" si="1"/>
        <v>Late</v>
      </c>
      <c r="J28" s="109" t="str">
        <f t="shared" si="22"/>
        <v/>
      </c>
      <c r="K28" s="109" t="str">
        <f t="shared" si="22"/>
        <v/>
      </c>
      <c r="L28" s="109" t="str">
        <f t="shared" si="22"/>
        <v/>
      </c>
      <c r="M28" s="109" t="str">
        <f t="shared" si="22"/>
        <v/>
      </c>
      <c r="N28" s="109" t="str">
        <f t="shared" si="22"/>
        <v/>
      </c>
      <c r="O28" s="109" t="str">
        <f t="shared" si="22"/>
        <v/>
      </c>
      <c r="P28" s="109" t="str">
        <f t="shared" si="22"/>
        <v/>
      </c>
      <c r="Q28" s="109" t="str">
        <f t="shared" si="22"/>
        <v/>
      </c>
      <c r="R28" s="109">
        <f t="shared" si="22"/>
        <v>1</v>
      </c>
      <c r="S28" s="109">
        <f t="shared" si="22"/>
        <v>1</v>
      </c>
      <c r="T28" s="109" t="str">
        <f t="shared" si="23"/>
        <v/>
      </c>
      <c r="U28" s="109" t="str">
        <f t="shared" si="23"/>
        <v/>
      </c>
      <c r="V28" s="109" t="str">
        <f t="shared" si="23"/>
        <v/>
      </c>
      <c r="W28" s="109" t="str">
        <f t="shared" si="23"/>
        <v/>
      </c>
      <c r="X28" s="109" t="str">
        <f t="shared" si="23"/>
        <v/>
      </c>
      <c r="Y28" s="109" t="str">
        <f t="shared" si="23"/>
        <v/>
      </c>
      <c r="Z28" s="109" t="str">
        <f t="shared" si="23"/>
        <v/>
      </c>
      <c r="AA28" s="109" t="str">
        <f t="shared" si="23"/>
        <v/>
      </c>
      <c r="AB28" s="109" t="str">
        <f t="shared" si="23"/>
        <v/>
      </c>
      <c r="AC28" s="109" t="str">
        <f t="shared" si="23"/>
        <v/>
      </c>
      <c r="AD28" s="109" t="str">
        <f t="shared" si="24"/>
        <v/>
      </c>
      <c r="AE28" s="109" t="str">
        <f t="shared" si="24"/>
        <v/>
      </c>
      <c r="AF28" s="109" t="str">
        <f t="shared" si="24"/>
        <v/>
      </c>
      <c r="AG28" s="109" t="str">
        <f t="shared" si="24"/>
        <v/>
      </c>
      <c r="AH28" s="109" t="str">
        <f t="shared" si="24"/>
        <v/>
      </c>
      <c r="AI28" s="109" t="str">
        <f t="shared" si="24"/>
        <v/>
      </c>
      <c r="AJ28" s="109" t="str">
        <f t="shared" si="24"/>
        <v/>
      </c>
      <c r="AK28" s="109" t="str">
        <f t="shared" si="24"/>
        <v/>
      </c>
      <c r="AL28" s="109" t="str">
        <f t="shared" si="24"/>
        <v/>
      </c>
      <c r="AM28" s="109" t="str">
        <f t="shared" si="24"/>
        <v/>
      </c>
      <c r="AN28" s="109" t="str">
        <f t="shared" si="25"/>
        <v/>
      </c>
      <c r="AO28" s="109" t="str">
        <f t="shared" si="25"/>
        <v/>
      </c>
      <c r="AP28" s="109" t="str">
        <f t="shared" si="25"/>
        <v/>
      </c>
      <c r="AQ28" s="109" t="str">
        <f t="shared" si="25"/>
        <v/>
      </c>
      <c r="AR28" s="109" t="str">
        <f t="shared" si="25"/>
        <v/>
      </c>
      <c r="AS28" s="109" t="str">
        <f t="shared" si="25"/>
        <v/>
      </c>
      <c r="AT28" s="109" t="str">
        <f t="shared" si="25"/>
        <v/>
      </c>
      <c r="AU28" s="109" t="str">
        <f t="shared" si="25"/>
        <v/>
      </c>
      <c r="AV28" s="109" t="str">
        <f t="shared" si="25"/>
        <v/>
      </c>
      <c r="AW28" s="109" t="str">
        <f t="shared" si="25"/>
        <v/>
      </c>
      <c r="AX28" s="109" t="str">
        <f t="shared" si="26"/>
        <v/>
      </c>
      <c r="AY28" s="109" t="str">
        <f t="shared" si="26"/>
        <v/>
      </c>
      <c r="AZ28" s="109" t="str">
        <f t="shared" si="26"/>
        <v/>
      </c>
      <c r="BA28" s="109" t="str">
        <f t="shared" si="26"/>
        <v/>
      </c>
      <c r="BB28" s="109" t="str">
        <f t="shared" si="26"/>
        <v/>
      </c>
      <c r="BC28" s="109" t="str">
        <f t="shared" si="26"/>
        <v/>
      </c>
      <c r="BD28" s="109" t="str">
        <f t="shared" si="26"/>
        <v/>
      </c>
      <c r="BE28" s="109" t="str">
        <f t="shared" si="26"/>
        <v/>
      </c>
      <c r="BF28" s="109" t="str">
        <f t="shared" si="26"/>
        <v/>
      </c>
      <c r="BG28" s="109" t="str">
        <f t="shared" si="26"/>
        <v/>
      </c>
      <c r="BH28" s="109" t="str">
        <f t="shared" si="27"/>
        <v/>
      </c>
      <c r="BI28" s="109" t="str">
        <f t="shared" si="27"/>
        <v/>
      </c>
      <c r="BJ28" s="109" t="str">
        <f t="shared" si="27"/>
        <v/>
      </c>
      <c r="BK28" s="109" t="str">
        <f t="shared" si="27"/>
        <v/>
      </c>
      <c r="BL28" s="109" t="str">
        <f t="shared" si="27"/>
        <v/>
      </c>
      <c r="BM28" s="109" t="str">
        <f t="shared" si="27"/>
        <v/>
      </c>
      <c r="BN28" s="109" t="str">
        <f t="shared" si="27"/>
        <v/>
      </c>
      <c r="BO28" s="109" t="str">
        <f t="shared" si="27"/>
        <v/>
      </c>
      <c r="BP28" s="109" t="str">
        <f t="shared" si="27"/>
        <v/>
      </c>
      <c r="BQ28" s="109" t="str">
        <f t="shared" si="27"/>
        <v/>
      </c>
      <c r="BR28" s="109" t="str">
        <f t="shared" si="28"/>
        <v/>
      </c>
      <c r="BS28" s="109" t="str">
        <f t="shared" si="28"/>
        <v/>
      </c>
      <c r="BT28" s="109" t="str">
        <f t="shared" si="28"/>
        <v/>
      </c>
      <c r="BU28" s="109" t="str">
        <f t="shared" si="28"/>
        <v/>
      </c>
      <c r="BV28" s="109" t="str">
        <f t="shared" si="28"/>
        <v/>
      </c>
      <c r="BW28" s="109" t="str">
        <f t="shared" si="28"/>
        <v/>
      </c>
      <c r="BX28" s="109" t="str">
        <f t="shared" si="28"/>
        <v/>
      </c>
      <c r="BY28" s="109" t="str">
        <f t="shared" si="28"/>
        <v/>
      </c>
      <c r="BZ28" s="109" t="str">
        <f t="shared" si="28"/>
        <v/>
      </c>
      <c r="CA28" s="109" t="str">
        <f t="shared" si="28"/>
        <v/>
      </c>
      <c r="CB28" s="109" t="str">
        <f t="shared" si="29"/>
        <v/>
      </c>
      <c r="CC28" s="109" t="str">
        <f t="shared" si="29"/>
        <v/>
      </c>
      <c r="CD28" s="109" t="str">
        <f t="shared" si="29"/>
        <v/>
      </c>
      <c r="CE28" s="109" t="str">
        <f t="shared" si="29"/>
        <v/>
      </c>
      <c r="CF28" s="109" t="str">
        <f t="shared" si="29"/>
        <v/>
      </c>
      <c r="CG28" s="109" t="str">
        <f t="shared" si="29"/>
        <v/>
      </c>
      <c r="CH28" s="109" t="str">
        <f t="shared" si="29"/>
        <v/>
      </c>
      <c r="CI28" s="109" t="str">
        <f t="shared" si="29"/>
        <v/>
      </c>
      <c r="CJ28" s="109" t="str">
        <f t="shared" si="29"/>
        <v/>
      </c>
      <c r="CK28" s="109" t="str">
        <f t="shared" si="29"/>
        <v/>
      </c>
      <c r="CL28" s="109" t="str">
        <f t="shared" si="30"/>
        <v/>
      </c>
      <c r="CM28" s="109" t="str">
        <f t="shared" si="30"/>
        <v/>
      </c>
      <c r="CN28" s="109" t="str">
        <f t="shared" si="30"/>
        <v/>
      </c>
      <c r="CO28" s="109" t="str">
        <f t="shared" si="30"/>
        <v/>
      </c>
      <c r="CP28" s="109" t="str">
        <f t="shared" si="30"/>
        <v/>
      </c>
      <c r="CQ28" s="109" t="str">
        <f t="shared" si="30"/>
        <v/>
      </c>
      <c r="CR28" s="109" t="str">
        <f t="shared" si="30"/>
        <v/>
      </c>
      <c r="CS28" s="109" t="str">
        <f t="shared" si="30"/>
        <v/>
      </c>
      <c r="CT28" s="109" t="str">
        <f t="shared" si="30"/>
        <v/>
      </c>
      <c r="CU28" s="109" t="str">
        <f t="shared" si="30"/>
        <v/>
      </c>
      <c r="CV28" s="109" t="str">
        <f t="shared" si="31"/>
        <v/>
      </c>
      <c r="CW28" s="109" t="str">
        <f t="shared" si="31"/>
        <v/>
      </c>
      <c r="CX28" s="109" t="str">
        <f t="shared" si="31"/>
        <v/>
      </c>
      <c r="CY28" s="109" t="str">
        <f t="shared" si="31"/>
        <v/>
      </c>
      <c r="CZ28" s="109" t="str">
        <f t="shared" si="31"/>
        <v/>
      </c>
      <c r="DA28" s="109" t="str">
        <f t="shared" si="31"/>
        <v/>
      </c>
      <c r="DB28" s="109" t="str">
        <f t="shared" si="31"/>
        <v/>
      </c>
      <c r="DC28" s="109" t="str">
        <f t="shared" si="31"/>
        <v/>
      </c>
    </row>
    <row r="29" spans="1:107" ht="26.25" customHeight="1" x14ac:dyDescent="0.25">
      <c r="A29" s="92" t="s">
        <v>322</v>
      </c>
      <c r="B29" s="76" t="s">
        <v>379</v>
      </c>
      <c r="C29" s="77" t="s">
        <v>382</v>
      </c>
      <c r="D29" s="77" t="s">
        <v>382</v>
      </c>
      <c r="E29" s="94">
        <v>46103</v>
      </c>
      <c r="F29" s="108">
        <v>3</v>
      </c>
      <c r="G29" s="110">
        <f t="shared" si="0"/>
        <v>46105</v>
      </c>
      <c r="H29" s="102">
        <v>1</v>
      </c>
      <c r="I29" s="97" t="str">
        <f t="shared" ca="1" si="1"/>
        <v>Done</v>
      </c>
      <c r="J29" s="109" t="str">
        <f t="shared" si="22"/>
        <v/>
      </c>
      <c r="K29" s="109" t="str">
        <f t="shared" si="22"/>
        <v/>
      </c>
      <c r="L29" s="109" t="str">
        <f t="shared" si="22"/>
        <v/>
      </c>
      <c r="M29" s="109" t="str">
        <f t="shared" si="22"/>
        <v/>
      </c>
      <c r="N29" s="109" t="str">
        <f t="shared" si="22"/>
        <v/>
      </c>
      <c r="O29" s="109" t="str">
        <f t="shared" si="22"/>
        <v/>
      </c>
      <c r="P29" s="109" t="str">
        <f t="shared" si="22"/>
        <v/>
      </c>
      <c r="Q29" s="109" t="str">
        <f t="shared" si="22"/>
        <v/>
      </c>
      <c r="R29" s="109" t="str">
        <f t="shared" si="22"/>
        <v/>
      </c>
      <c r="S29" s="109" t="str">
        <f t="shared" si="22"/>
        <v/>
      </c>
      <c r="T29" s="109" t="str">
        <f t="shared" si="23"/>
        <v/>
      </c>
      <c r="U29" s="109" t="str">
        <f t="shared" si="23"/>
        <v/>
      </c>
      <c r="V29" s="109" t="str">
        <f t="shared" si="23"/>
        <v/>
      </c>
      <c r="W29" s="109" t="str">
        <f t="shared" si="23"/>
        <v/>
      </c>
      <c r="X29" s="109" t="str">
        <f t="shared" si="23"/>
        <v/>
      </c>
      <c r="Y29" s="109" t="str">
        <f t="shared" si="23"/>
        <v/>
      </c>
      <c r="Z29" s="109" t="str">
        <f t="shared" si="23"/>
        <v/>
      </c>
      <c r="AA29" s="109" t="str">
        <f t="shared" si="23"/>
        <v/>
      </c>
      <c r="AB29" s="109" t="str">
        <f t="shared" si="23"/>
        <v/>
      </c>
      <c r="AC29" s="109" t="str">
        <f t="shared" si="23"/>
        <v/>
      </c>
      <c r="AD29" s="109" t="str">
        <f t="shared" si="24"/>
        <v/>
      </c>
      <c r="AE29" s="109" t="str">
        <f t="shared" si="24"/>
        <v/>
      </c>
      <c r="AF29" s="109" t="str">
        <f t="shared" si="24"/>
        <v/>
      </c>
      <c r="AG29" s="109" t="str">
        <f t="shared" si="24"/>
        <v/>
      </c>
      <c r="AH29" s="109" t="str">
        <f t="shared" si="24"/>
        <v/>
      </c>
      <c r="AI29" s="109" t="str">
        <f t="shared" si="24"/>
        <v/>
      </c>
      <c r="AJ29" s="109" t="str">
        <f t="shared" si="24"/>
        <v/>
      </c>
      <c r="AK29" s="109" t="str">
        <f t="shared" si="24"/>
        <v/>
      </c>
      <c r="AL29" s="109" t="str">
        <f t="shared" si="24"/>
        <v/>
      </c>
      <c r="AM29" s="109" t="str">
        <f t="shared" si="24"/>
        <v/>
      </c>
      <c r="AN29" s="109" t="str">
        <f t="shared" si="25"/>
        <v/>
      </c>
      <c r="AO29" s="109" t="str">
        <f t="shared" si="25"/>
        <v/>
      </c>
      <c r="AP29" s="109" t="str">
        <f t="shared" si="25"/>
        <v/>
      </c>
      <c r="AQ29" s="109" t="str">
        <f t="shared" si="25"/>
        <v/>
      </c>
      <c r="AR29" s="109" t="str">
        <f t="shared" si="25"/>
        <v/>
      </c>
      <c r="AS29" s="109" t="str">
        <f t="shared" si="25"/>
        <v/>
      </c>
      <c r="AT29" s="109" t="str">
        <f t="shared" si="25"/>
        <v/>
      </c>
      <c r="AU29" s="109" t="str">
        <f t="shared" si="25"/>
        <v/>
      </c>
      <c r="AV29" s="109" t="str">
        <f t="shared" si="25"/>
        <v/>
      </c>
      <c r="AW29" s="109" t="str">
        <f t="shared" si="25"/>
        <v/>
      </c>
      <c r="AX29" s="109" t="str">
        <f t="shared" si="26"/>
        <v/>
      </c>
      <c r="AY29" s="109" t="str">
        <f t="shared" si="26"/>
        <v/>
      </c>
      <c r="AZ29" s="109" t="str">
        <f t="shared" si="26"/>
        <v/>
      </c>
      <c r="BA29" s="109" t="str">
        <f t="shared" si="26"/>
        <v/>
      </c>
      <c r="BB29" s="109" t="str">
        <f t="shared" si="26"/>
        <v/>
      </c>
      <c r="BC29" s="109" t="str">
        <f t="shared" si="26"/>
        <v/>
      </c>
      <c r="BD29" s="109" t="str">
        <f t="shared" si="26"/>
        <v/>
      </c>
      <c r="BE29" s="109" t="str">
        <f t="shared" si="26"/>
        <v/>
      </c>
      <c r="BF29" s="109" t="str">
        <f t="shared" si="26"/>
        <v/>
      </c>
      <c r="BG29" s="109" t="str">
        <f t="shared" si="26"/>
        <v/>
      </c>
      <c r="BH29" s="109" t="str">
        <f t="shared" si="27"/>
        <v/>
      </c>
      <c r="BI29" s="109" t="str">
        <f t="shared" si="27"/>
        <v/>
      </c>
      <c r="BJ29" s="109" t="str">
        <f t="shared" si="27"/>
        <v/>
      </c>
      <c r="BK29" s="109" t="str">
        <f t="shared" si="27"/>
        <v/>
      </c>
      <c r="BL29" s="109" t="str">
        <f t="shared" si="27"/>
        <v/>
      </c>
      <c r="BM29" s="109" t="str">
        <f t="shared" si="27"/>
        <v/>
      </c>
      <c r="BN29" s="109" t="str">
        <f t="shared" si="27"/>
        <v/>
      </c>
      <c r="BO29" s="109" t="str">
        <f t="shared" si="27"/>
        <v/>
      </c>
      <c r="BP29" s="109" t="str">
        <f t="shared" si="27"/>
        <v/>
      </c>
      <c r="BQ29" s="109" t="str">
        <f t="shared" si="27"/>
        <v/>
      </c>
      <c r="BR29" s="109" t="str">
        <f t="shared" si="28"/>
        <v/>
      </c>
      <c r="BS29" s="109" t="str">
        <f t="shared" si="28"/>
        <v/>
      </c>
      <c r="BT29" s="109" t="str">
        <f t="shared" si="28"/>
        <v/>
      </c>
      <c r="BU29" s="109" t="str">
        <f t="shared" si="28"/>
        <v/>
      </c>
      <c r="BV29" s="109" t="str">
        <f t="shared" si="28"/>
        <v/>
      </c>
      <c r="BW29" s="109" t="str">
        <f t="shared" si="28"/>
        <v/>
      </c>
      <c r="BX29" s="109" t="str">
        <f t="shared" si="28"/>
        <v/>
      </c>
      <c r="BY29" s="109" t="str">
        <f t="shared" si="28"/>
        <v/>
      </c>
      <c r="BZ29" s="109" t="str">
        <f t="shared" si="28"/>
        <v/>
      </c>
      <c r="CA29" s="109" t="str">
        <f t="shared" si="28"/>
        <v/>
      </c>
      <c r="CB29" s="109" t="str">
        <f t="shared" si="29"/>
        <v/>
      </c>
      <c r="CC29" s="109" t="str">
        <f t="shared" si="29"/>
        <v/>
      </c>
      <c r="CD29" s="109" t="str">
        <f t="shared" si="29"/>
        <v/>
      </c>
      <c r="CE29" s="109" t="str">
        <f t="shared" si="29"/>
        <v/>
      </c>
      <c r="CF29" s="109" t="str">
        <f t="shared" si="29"/>
        <v/>
      </c>
      <c r="CG29" s="109" t="str">
        <f t="shared" si="29"/>
        <v/>
      </c>
      <c r="CH29" s="109" t="str">
        <f t="shared" si="29"/>
        <v/>
      </c>
      <c r="CI29" s="109" t="str">
        <f t="shared" si="29"/>
        <v/>
      </c>
      <c r="CJ29" s="109" t="str">
        <f t="shared" si="29"/>
        <v/>
      </c>
      <c r="CK29" s="109" t="str">
        <f t="shared" si="29"/>
        <v/>
      </c>
      <c r="CL29" s="109" t="str">
        <f t="shared" si="30"/>
        <v/>
      </c>
      <c r="CM29" s="109" t="str">
        <f t="shared" si="30"/>
        <v/>
      </c>
      <c r="CN29" s="109" t="str">
        <f t="shared" si="30"/>
        <v/>
      </c>
      <c r="CO29" s="109" t="str">
        <f t="shared" si="30"/>
        <v/>
      </c>
      <c r="CP29" s="109" t="str">
        <f t="shared" si="30"/>
        <v/>
      </c>
      <c r="CQ29" s="109" t="str">
        <f t="shared" si="30"/>
        <v/>
      </c>
      <c r="CR29" s="109" t="str">
        <f t="shared" si="30"/>
        <v/>
      </c>
      <c r="CS29" s="109" t="str">
        <f t="shared" si="30"/>
        <v/>
      </c>
      <c r="CT29" s="109" t="str">
        <f t="shared" si="30"/>
        <v/>
      </c>
      <c r="CU29" s="109" t="str">
        <f t="shared" si="30"/>
        <v/>
      </c>
      <c r="CV29" s="109" t="str">
        <f t="shared" si="31"/>
        <v/>
      </c>
      <c r="CW29" s="109" t="str">
        <f t="shared" si="31"/>
        <v/>
      </c>
      <c r="CX29" s="109" t="str">
        <f t="shared" si="31"/>
        <v/>
      </c>
      <c r="CY29" s="109" t="str">
        <f t="shared" si="31"/>
        <v/>
      </c>
      <c r="CZ29" s="109" t="str">
        <f t="shared" si="31"/>
        <v/>
      </c>
      <c r="DA29" s="109" t="str">
        <f t="shared" si="31"/>
        <v/>
      </c>
      <c r="DB29" s="109" t="str">
        <f t="shared" si="31"/>
        <v/>
      </c>
      <c r="DC29" s="109" t="str">
        <f t="shared" si="31"/>
        <v/>
      </c>
    </row>
    <row r="30" spans="1:107" ht="26.25" customHeight="1" x14ac:dyDescent="0.25">
      <c r="A30" s="92" t="s">
        <v>322</v>
      </c>
      <c r="B30" s="76" t="s">
        <v>379</v>
      </c>
      <c r="C30" s="77" t="s">
        <v>469</v>
      </c>
      <c r="D30" s="77" t="s">
        <v>469</v>
      </c>
      <c r="E30" s="94">
        <v>46110</v>
      </c>
      <c r="F30" s="108">
        <v>2</v>
      </c>
      <c r="G30" s="110">
        <f t="shared" si="0"/>
        <v>46111</v>
      </c>
      <c r="H30" s="102">
        <v>1</v>
      </c>
      <c r="I30" s="97" t="str">
        <f t="shared" ca="1" si="1"/>
        <v>Done</v>
      </c>
      <c r="J30" s="109">
        <f t="shared" si="22"/>
        <v>1</v>
      </c>
      <c r="K30" s="109" t="str">
        <f t="shared" si="22"/>
        <v/>
      </c>
      <c r="L30" s="109" t="str">
        <f t="shared" si="22"/>
        <v/>
      </c>
      <c r="M30" s="109" t="str">
        <f t="shared" si="22"/>
        <v/>
      </c>
      <c r="N30" s="109" t="str">
        <f t="shared" si="22"/>
        <v/>
      </c>
      <c r="O30" s="109" t="str">
        <f t="shared" si="22"/>
        <v/>
      </c>
      <c r="P30" s="109" t="str">
        <f t="shared" si="22"/>
        <v/>
      </c>
      <c r="Q30" s="109" t="str">
        <f t="shared" si="22"/>
        <v/>
      </c>
      <c r="R30" s="109" t="str">
        <f t="shared" si="22"/>
        <v/>
      </c>
      <c r="S30" s="109" t="str">
        <f t="shared" si="22"/>
        <v/>
      </c>
      <c r="T30" s="109" t="str">
        <f t="shared" si="23"/>
        <v/>
      </c>
      <c r="U30" s="109" t="str">
        <f t="shared" si="23"/>
        <v/>
      </c>
      <c r="V30" s="109" t="str">
        <f t="shared" si="23"/>
        <v/>
      </c>
      <c r="W30" s="109" t="str">
        <f t="shared" si="23"/>
        <v/>
      </c>
      <c r="X30" s="109" t="str">
        <f t="shared" si="23"/>
        <v/>
      </c>
      <c r="Y30" s="109" t="str">
        <f t="shared" si="23"/>
        <v/>
      </c>
      <c r="Z30" s="109" t="str">
        <f t="shared" si="23"/>
        <v/>
      </c>
      <c r="AA30" s="109" t="str">
        <f t="shared" si="23"/>
        <v/>
      </c>
      <c r="AB30" s="109" t="str">
        <f t="shared" si="23"/>
        <v/>
      </c>
      <c r="AC30" s="109" t="str">
        <f t="shared" si="23"/>
        <v/>
      </c>
      <c r="AD30" s="109" t="str">
        <f t="shared" si="24"/>
        <v/>
      </c>
      <c r="AE30" s="109" t="str">
        <f t="shared" si="24"/>
        <v/>
      </c>
      <c r="AF30" s="109" t="str">
        <f t="shared" si="24"/>
        <v/>
      </c>
      <c r="AG30" s="109" t="str">
        <f t="shared" si="24"/>
        <v/>
      </c>
      <c r="AH30" s="109" t="str">
        <f t="shared" si="24"/>
        <v/>
      </c>
      <c r="AI30" s="109" t="str">
        <f t="shared" si="24"/>
        <v/>
      </c>
      <c r="AJ30" s="109" t="str">
        <f t="shared" si="24"/>
        <v/>
      </c>
      <c r="AK30" s="109" t="str">
        <f t="shared" si="24"/>
        <v/>
      </c>
      <c r="AL30" s="109" t="str">
        <f t="shared" si="24"/>
        <v/>
      </c>
      <c r="AM30" s="109" t="str">
        <f t="shared" si="24"/>
        <v/>
      </c>
      <c r="AN30" s="109" t="str">
        <f t="shared" si="25"/>
        <v/>
      </c>
      <c r="AO30" s="109" t="str">
        <f t="shared" si="25"/>
        <v/>
      </c>
      <c r="AP30" s="109" t="str">
        <f t="shared" si="25"/>
        <v/>
      </c>
      <c r="AQ30" s="109" t="str">
        <f t="shared" si="25"/>
        <v/>
      </c>
      <c r="AR30" s="109" t="str">
        <f t="shared" si="25"/>
        <v/>
      </c>
      <c r="AS30" s="109" t="str">
        <f t="shared" si="25"/>
        <v/>
      </c>
      <c r="AT30" s="109" t="str">
        <f t="shared" si="25"/>
        <v/>
      </c>
      <c r="AU30" s="109" t="str">
        <f t="shared" si="25"/>
        <v/>
      </c>
      <c r="AV30" s="109" t="str">
        <f t="shared" si="25"/>
        <v/>
      </c>
      <c r="AW30" s="109" t="str">
        <f t="shared" si="25"/>
        <v/>
      </c>
      <c r="AX30" s="109" t="str">
        <f t="shared" si="26"/>
        <v/>
      </c>
      <c r="AY30" s="109" t="str">
        <f t="shared" si="26"/>
        <v/>
      </c>
      <c r="AZ30" s="109" t="str">
        <f t="shared" si="26"/>
        <v/>
      </c>
      <c r="BA30" s="109" t="str">
        <f t="shared" si="26"/>
        <v/>
      </c>
      <c r="BB30" s="109" t="str">
        <f t="shared" si="26"/>
        <v/>
      </c>
      <c r="BC30" s="109" t="str">
        <f t="shared" si="26"/>
        <v/>
      </c>
      <c r="BD30" s="109" t="str">
        <f t="shared" si="26"/>
        <v/>
      </c>
      <c r="BE30" s="109" t="str">
        <f t="shared" si="26"/>
        <v/>
      </c>
      <c r="BF30" s="109" t="str">
        <f t="shared" si="26"/>
        <v/>
      </c>
      <c r="BG30" s="109" t="str">
        <f t="shared" si="26"/>
        <v/>
      </c>
      <c r="BH30" s="109" t="str">
        <f t="shared" si="27"/>
        <v/>
      </c>
      <c r="BI30" s="109" t="str">
        <f t="shared" si="27"/>
        <v/>
      </c>
      <c r="BJ30" s="109" t="str">
        <f t="shared" si="27"/>
        <v/>
      </c>
      <c r="BK30" s="109" t="str">
        <f t="shared" si="27"/>
        <v/>
      </c>
      <c r="BL30" s="109" t="str">
        <f t="shared" si="27"/>
        <v/>
      </c>
      <c r="BM30" s="109" t="str">
        <f t="shared" si="27"/>
        <v/>
      </c>
      <c r="BN30" s="109" t="str">
        <f t="shared" si="27"/>
        <v/>
      </c>
      <c r="BO30" s="109" t="str">
        <f t="shared" si="27"/>
        <v/>
      </c>
      <c r="BP30" s="109" t="str">
        <f t="shared" si="27"/>
        <v/>
      </c>
      <c r="BQ30" s="109" t="str">
        <f t="shared" si="27"/>
        <v/>
      </c>
      <c r="BR30" s="109" t="str">
        <f t="shared" si="28"/>
        <v/>
      </c>
      <c r="BS30" s="109" t="str">
        <f t="shared" si="28"/>
        <v/>
      </c>
      <c r="BT30" s="109" t="str">
        <f t="shared" si="28"/>
        <v/>
      </c>
      <c r="BU30" s="109" t="str">
        <f t="shared" si="28"/>
        <v/>
      </c>
      <c r="BV30" s="109" t="str">
        <f t="shared" si="28"/>
        <v/>
      </c>
      <c r="BW30" s="109" t="str">
        <f t="shared" si="28"/>
        <v/>
      </c>
      <c r="BX30" s="109" t="str">
        <f t="shared" si="28"/>
        <v/>
      </c>
      <c r="BY30" s="109" t="str">
        <f t="shared" si="28"/>
        <v/>
      </c>
      <c r="BZ30" s="109" t="str">
        <f t="shared" si="28"/>
        <v/>
      </c>
      <c r="CA30" s="109" t="str">
        <f t="shared" si="28"/>
        <v/>
      </c>
      <c r="CB30" s="109" t="str">
        <f t="shared" si="29"/>
        <v/>
      </c>
      <c r="CC30" s="109" t="str">
        <f t="shared" si="29"/>
        <v/>
      </c>
      <c r="CD30" s="109" t="str">
        <f t="shared" si="29"/>
        <v/>
      </c>
      <c r="CE30" s="109" t="str">
        <f t="shared" si="29"/>
        <v/>
      </c>
      <c r="CF30" s="109" t="str">
        <f t="shared" si="29"/>
        <v/>
      </c>
      <c r="CG30" s="109" t="str">
        <f t="shared" si="29"/>
        <v/>
      </c>
      <c r="CH30" s="109" t="str">
        <f t="shared" si="29"/>
        <v/>
      </c>
      <c r="CI30" s="109" t="str">
        <f t="shared" si="29"/>
        <v/>
      </c>
      <c r="CJ30" s="109" t="str">
        <f t="shared" si="29"/>
        <v/>
      </c>
      <c r="CK30" s="109" t="str">
        <f t="shared" si="29"/>
        <v/>
      </c>
      <c r="CL30" s="109" t="str">
        <f t="shared" si="30"/>
        <v/>
      </c>
      <c r="CM30" s="109" t="str">
        <f t="shared" si="30"/>
        <v/>
      </c>
      <c r="CN30" s="109" t="str">
        <f t="shared" si="30"/>
        <v/>
      </c>
      <c r="CO30" s="109" t="str">
        <f t="shared" si="30"/>
        <v/>
      </c>
      <c r="CP30" s="109" t="str">
        <f t="shared" si="30"/>
        <v/>
      </c>
      <c r="CQ30" s="109" t="str">
        <f t="shared" si="30"/>
        <v/>
      </c>
      <c r="CR30" s="109" t="str">
        <f t="shared" si="30"/>
        <v/>
      </c>
      <c r="CS30" s="109" t="str">
        <f t="shared" si="30"/>
        <v/>
      </c>
      <c r="CT30" s="109" t="str">
        <f t="shared" si="30"/>
        <v/>
      </c>
      <c r="CU30" s="109" t="str">
        <f t="shared" si="30"/>
        <v/>
      </c>
      <c r="CV30" s="109" t="str">
        <f t="shared" si="31"/>
        <v/>
      </c>
      <c r="CW30" s="109" t="str">
        <f t="shared" si="31"/>
        <v/>
      </c>
      <c r="CX30" s="109" t="str">
        <f t="shared" si="31"/>
        <v/>
      </c>
      <c r="CY30" s="109" t="str">
        <f t="shared" si="31"/>
        <v/>
      </c>
      <c r="CZ30" s="109" t="str">
        <f t="shared" si="31"/>
        <v/>
      </c>
      <c r="DA30" s="109" t="str">
        <f t="shared" si="31"/>
        <v/>
      </c>
      <c r="DB30" s="109" t="str">
        <f t="shared" si="31"/>
        <v/>
      </c>
      <c r="DC30" s="109" t="str">
        <f t="shared" si="31"/>
        <v/>
      </c>
    </row>
    <row r="31" spans="1:107" ht="26.25" customHeight="1" x14ac:dyDescent="0.25">
      <c r="A31" s="92" t="s">
        <v>322</v>
      </c>
      <c r="B31" s="76" t="s">
        <v>379</v>
      </c>
      <c r="C31" s="77" t="s">
        <v>470</v>
      </c>
      <c r="D31" s="77" t="s">
        <v>470</v>
      </c>
      <c r="E31" s="94">
        <v>46112</v>
      </c>
      <c r="F31" s="108">
        <v>3</v>
      </c>
      <c r="G31" s="110">
        <f t="shared" si="0"/>
        <v>46114</v>
      </c>
      <c r="H31" s="102">
        <v>0.33333333333333298</v>
      </c>
      <c r="I31" s="97" t="str">
        <f t="shared" ca="1" si="1"/>
        <v>Late</v>
      </c>
      <c r="J31" s="109" t="str">
        <f t="shared" si="22"/>
        <v/>
      </c>
      <c r="K31" s="109">
        <f t="shared" si="22"/>
        <v>1</v>
      </c>
      <c r="L31" s="109">
        <f t="shared" si="22"/>
        <v>1</v>
      </c>
      <c r="M31" s="109">
        <f t="shared" si="22"/>
        <v>1</v>
      </c>
      <c r="N31" s="109" t="str">
        <f t="shared" si="22"/>
        <v/>
      </c>
      <c r="O31" s="109" t="str">
        <f t="shared" si="22"/>
        <v/>
      </c>
      <c r="P31" s="109" t="str">
        <f t="shared" si="22"/>
        <v/>
      </c>
      <c r="Q31" s="109" t="str">
        <f t="shared" si="22"/>
        <v/>
      </c>
      <c r="R31" s="109" t="str">
        <f t="shared" si="22"/>
        <v/>
      </c>
      <c r="S31" s="109" t="str">
        <f t="shared" si="22"/>
        <v/>
      </c>
      <c r="T31" s="109" t="str">
        <f t="shared" si="23"/>
        <v/>
      </c>
      <c r="U31" s="109" t="str">
        <f t="shared" si="23"/>
        <v/>
      </c>
      <c r="V31" s="109" t="str">
        <f t="shared" si="23"/>
        <v/>
      </c>
      <c r="W31" s="109" t="str">
        <f t="shared" si="23"/>
        <v/>
      </c>
      <c r="X31" s="109" t="str">
        <f t="shared" si="23"/>
        <v/>
      </c>
      <c r="Y31" s="109" t="str">
        <f t="shared" si="23"/>
        <v/>
      </c>
      <c r="Z31" s="109" t="str">
        <f t="shared" si="23"/>
        <v/>
      </c>
      <c r="AA31" s="109" t="str">
        <f t="shared" si="23"/>
        <v/>
      </c>
      <c r="AB31" s="109" t="str">
        <f t="shared" si="23"/>
        <v/>
      </c>
      <c r="AC31" s="109" t="str">
        <f t="shared" si="23"/>
        <v/>
      </c>
      <c r="AD31" s="109" t="str">
        <f t="shared" si="24"/>
        <v/>
      </c>
      <c r="AE31" s="109" t="str">
        <f t="shared" si="24"/>
        <v/>
      </c>
      <c r="AF31" s="109" t="str">
        <f t="shared" si="24"/>
        <v/>
      </c>
      <c r="AG31" s="109" t="str">
        <f t="shared" si="24"/>
        <v/>
      </c>
      <c r="AH31" s="109" t="str">
        <f t="shared" si="24"/>
        <v/>
      </c>
      <c r="AI31" s="109" t="str">
        <f t="shared" si="24"/>
        <v/>
      </c>
      <c r="AJ31" s="109" t="str">
        <f t="shared" si="24"/>
        <v/>
      </c>
      <c r="AK31" s="109" t="str">
        <f t="shared" si="24"/>
        <v/>
      </c>
      <c r="AL31" s="109" t="str">
        <f t="shared" si="24"/>
        <v/>
      </c>
      <c r="AM31" s="109" t="str">
        <f t="shared" si="24"/>
        <v/>
      </c>
      <c r="AN31" s="109" t="str">
        <f t="shared" si="25"/>
        <v/>
      </c>
      <c r="AO31" s="109" t="str">
        <f t="shared" si="25"/>
        <v/>
      </c>
      <c r="AP31" s="109" t="str">
        <f t="shared" si="25"/>
        <v/>
      </c>
      <c r="AQ31" s="109" t="str">
        <f t="shared" si="25"/>
        <v/>
      </c>
      <c r="AR31" s="109" t="str">
        <f t="shared" si="25"/>
        <v/>
      </c>
      <c r="AS31" s="109" t="str">
        <f t="shared" si="25"/>
        <v/>
      </c>
      <c r="AT31" s="109" t="str">
        <f t="shared" si="25"/>
        <v/>
      </c>
      <c r="AU31" s="109" t="str">
        <f t="shared" si="25"/>
        <v/>
      </c>
      <c r="AV31" s="109" t="str">
        <f t="shared" si="25"/>
        <v/>
      </c>
      <c r="AW31" s="109" t="str">
        <f t="shared" si="25"/>
        <v/>
      </c>
      <c r="AX31" s="109" t="str">
        <f t="shared" si="26"/>
        <v/>
      </c>
      <c r="AY31" s="109" t="str">
        <f t="shared" si="26"/>
        <v/>
      </c>
      <c r="AZ31" s="109" t="str">
        <f t="shared" si="26"/>
        <v/>
      </c>
      <c r="BA31" s="109" t="str">
        <f t="shared" si="26"/>
        <v/>
      </c>
      <c r="BB31" s="109" t="str">
        <f t="shared" si="26"/>
        <v/>
      </c>
      <c r="BC31" s="109" t="str">
        <f t="shared" si="26"/>
        <v/>
      </c>
      <c r="BD31" s="109" t="str">
        <f t="shared" si="26"/>
        <v/>
      </c>
      <c r="BE31" s="109" t="str">
        <f t="shared" si="26"/>
        <v/>
      </c>
      <c r="BF31" s="109" t="str">
        <f t="shared" si="26"/>
        <v/>
      </c>
      <c r="BG31" s="109" t="str">
        <f t="shared" si="26"/>
        <v/>
      </c>
      <c r="BH31" s="109" t="str">
        <f t="shared" si="27"/>
        <v/>
      </c>
      <c r="BI31" s="109" t="str">
        <f t="shared" si="27"/>
        <v/>
      </c>
      <c r="BJ31" s="109" t="str">
        <f t="shared" si="27"/>
        <v/>
      </c>
      <c r="BK31" s="109" t="str">
        <f t="shared" si="27"/>
        <v/>
      </c>
      <c r="BL31" s="109" t="str">
        <f t="shared" si="27"/>
        <v/>
      </c>
      <c r="BM31" s="109" t="str">
        <f t="shared" si="27"/>
        <v/>
      </c>
      <c r="BN31" s="109" t="str">
        <f t="shared" si="27"/>
        <v/>
      </c>
      <c r="BO31" s="109" t="str">
        <f t="shared" si="27"/>
        <v/>
      </c>
      <c r="BP31" s="109" t="str">
        <f t="shared" si="27"/>
        <v/>
      </c>
      <c r="BQ31" s="109" t="str">
        <f t="shared" si="27"/>
        <v/>
      </c>
      <c r="BR31" s="109" t="str">
        <f t="shared" si="28"/>
        <v/>
      </c>
      <c r="BS31" s="109" t="str">
        <f t="shared" si="28"/>
        <v/>
      </c>
      <c r="BT31" s="109" t="str">
        <f t="shared" si="28"/>
        <v/>
      </c>
      <c r="BU31" s="109" t="str">
        <f t="shared" si="28"/>
        <v/>
      </c>
      <c r="BV31" s="109" t="str">
        <f t="shared" si="28"/>
        <v/>
      </c>
      <c r="BW31" s="109" t="str">
        <f t="shared" si="28"/>
        <v/>
      </c>
      <c r="BX31" s="109" t="str">
        <f t="shared" si="28"/>
        <v/>
      </c>
      <c r="BY31" s="109" t="str">
        <f t="shared" si="28"/>
        <v/>
      </c>
      <c r="BZ31" s="109" t="str">
        <f t="shared" si="28"/>
        <v/>
      </c>
      <c r="CA31" s="109" t="str">
        <f t="shared" si="28"/>
        <v/>
      </c>
      <c r="CB31" s="109" t="str">
        <f t="shared" si="29"/>
        <v/>
      </c>
      <c r="CC31" s="109" t="str">
        <f t="shared" si="29"/>
        <v/>
      </c>
      <c r="CD31" s="109" t="str">
        <f t="shared" si="29"/>
        <v/>
      </c>
      <c r="CE31" s="109" t="str">
        <f t="shared" si="29"/>
        <v/>
      </c>
      <c r="CF31" s="109" t="str">
        <f t="shared" si="29"/>
        <v/>
      </c>
      <c r="CG31" s="109" t="str">
        <f t="shared" si="29"/>
        <v/>
      </c>
      <c r="CH31" s="109" t="str">
        <f t="shared" si="29"/>
        <v/>
      </c>
      <c r="CI31" s="109" t="str">
        <f t="shared" si="29"/>
        <v/>
      </c>
      <c r="CJ31" s="109" t="str">
        <f t="shared" si="29"/>
        <v/>
      </c>
      <c r="CK31" s="109" t="str">
        <f t="shared" si="29"/>
        <v/>
      </c>
      <c r="CL31" s="109" t="str">
        <f t="shared" si="30"/>
        <v/>
      </c>
      <c r="CM31" s="109" t="str">
        <f t="shared" si="30"/>
        <v/>
      </c>
      <c r="CN31" s="109" t="str">
        <f t="shared" si="30"/>
        <v/>
      </c>
      <c r="CO31" s="109" t="str">
        <f t="shared" si="30"/>
        <v/>
      </c>
      <c r="CP31" s="109" t="str">
        <f t="shared" si="30"/>
        <v/>
      </c>
      <c r="CQ31" s="109" t="str">
        <f t="shared" si="30"/>
        <v/>
      </c>
      <c r="CR31" s="109" t="str">
        <f t="shared" si="30"/>
        <v/>
      </c>
      <c r="CS31" s="109" t="str">
        <f t="shared" si="30"/>
        <v/>
      </c>
      <c r="CT31" s="109" t="str">
        <f t="shared" si="30"/>
        <v/>
      </c>
      <c r="CU31" s="109" t="str">
        <f t="shared" si="30"/>
        <v/>
      </c>
      <c r="CV31" s="109" t="str">
        <f t="shared" si="31"/>
        <v/>
      </c>
      <c r="CW31" s="109" t="str">
        <f t="shared" si="31"/>
        <v/>
      </c>
      <c r="CX31" s="109" t="str">
        <f t="shared" si="31"/>
        <v/>
      </c>
      <c r="CY31" s="109" t="str">
        <f t="shared" si="31"/>
        <v/>
      </c>
      <c r="CZ31" s="109" t="str">
        <f t="shared" si="31"/>
        <v/>
      </c>
      <c r="DA31" s="109" t="str">
        <f t="shared" si="31"/>
        <v/>
      </c>
      <c r="DB31" s="109" t="str">
        <f t="shared" si="31"/>
        <v/>
      </c>
      <c r="DC31" s="109" t="str">
        <f t="shared" si="31"/>
        <v/>
      </c>
    </row>
    <row r="32" spans="1:107" ht="26.25" customHeight="1" x14ac:dyDescent="0.25">
      <c r="A32" s="92" t="s">
        <v>322</v>
      </c>
      <c r="B32" s="76" t="s">
        <v>379</v>
      </c>
      <c r="C32" s="77" t="s">
        <v>472</v>
      </c>
      <c r="D32" s="77" t="s">
        <v>472</v>
      </c>
      <c r="E32" s="94">
        <v>46117</v>
      </c>
      <c r="F32" s="108">
        <v>4</v>
      </c>
      <c r="G32" s="110">
        <f t="shared" si="0"/>
        <v>46120</v>
      </c>
      <c r="H32" s="102">
        <v>0</v>
      </c>
      <c r="I32" s="97" t="str">
        <f t="shared" ca="1" si="1"/>
        <v>Late</v>
      </c>
      <c r="J32" s="109" t="str">
        <f t="shared" si="22"/>
        <v/>
      </c>
      <c r="K32" s="109" t="str">
        <f t="shared" si="22"/>
        <v/>
      </c>
      <c r="L32" s="109" t="str">
        <f t="shared" si="22"/>
        <v/>
      </c>
      <c r="M32" s="109" t="str">
        <f t="shared" si="22"/>
        <v/>
      </c>
      <c r="N32" s="109" t="str">
        <f t="shared" si="22"/>
        <v/>
      </c>
      <c r="O32" s="109" t="str">
        <f t="shared" si="22"/>
        <v/>
      </c>
      <c r="P32" s="109">
        <f t="shared" si="22"/>
        <v>1</v>
      </c>
      <c r="Q32" s="109">
        <f t="shared" si="22"/>
        <v>1</v>
      </c>
      <c r="R32" s="109">
        <f t="shared" si="22"/>
        <v>1</v>
      </c>
      <c r="S32" s="109">
        <f t="shared" si="22"/>
        <v>1</v>
      </c>
      <c r="T32" s="109" t="str">
        <f t="shared" si="23"/>
        <v/>
      </c>
      <c r="U32" s="109" t="str">
        <f t="shared" si="23"/>
        <v/>
      </c>
      <c r="V32" s="109" t="str">
        <f t="shared" si="23"/>
        <v/>
      </c>
      <c r="W32" s="109" t="str">
        <f t="shared" si="23"/>
        <v/>
      </c>
      <c r="X32" s="109" t="str">
        <f t="shared" si="23"/>
        <v/>
      </c>
      <c r="Y32" s="109" t="str">
        <f t="shared" si="23"/>
        <v/>
      </c>
      <c r="Z32" s="109" t="str">
        <f t="shared" si="23"/>
        <v/>
      </c>
      <c r="AA32" s="109" t="str">
        <f t="shared" si="23"/>
        <v/>
      </c>
      <c r="AB32" s="109" t="str">
        <f t="shared" si="23"/>
        <v/>
      </c>
      <c r="AC32" s="109" t="str">
        <f t="shared" si="23"/>
        <v/>
      </c>
      <c r="AD32" s="109" t="str">
        <f t="shared" si="24"/>
        <v/>
      </c>
      <c r="AE32" s="109" t="str">
        <f t="shared" si="24"/>
        <v/>
      </c>
      <c r="AF32" s="109" t="str">
        <f t="shared" si="24"/>
        <v/>
      </c>
      <c r="AG32" s="109" t="str">
        <f t="shared" si="24"/>
        <v/>
      </c>
      <c r="AH32" s="109" t="str">
        <f t="shared" si="24"/>
        <v/>
      </c>
      <c r="AI32" s="109" t="str">
        <f t="shared" si="24"/>
        <v/>
      </c>
      <c r="AJ32" s="109" t="str">
        <f t="shared" si="24"/>
        <v/>
      </c>
      <c r="AK32" s="109" t="str">
        <f t="shared" si="24"/>
        <v/>
      </c>
      <c r="AL32" s="109" t="str">
        <f t="shared" si="24"/>
        <v/>
      </c>
      <c r="AM32" s="109" t="str">
        <f t="shared" si="24"/>
        <v/>
      </c>
      <c r="AN32" s="109" t="str">
        <f t="shared" si="25"/>
        <v/>
      </c>
      <c r="AO32" s="109" t="str">
        <f t="shared" si="25"/>
        <v/>
      </c>
      <c r="AP32" s="109" t="str">
        <f t="shared" si="25"/>
        <v/>
      </c>
      <c r="AQ32" s="109" t="str">
        <f t="shared" si="25"/>
        <v/>
      </c>
      <c r="AR32" s="109" t="str">
        <f t="shared" si="25"/>
        <v/>
      </c>
      <c r="AS32" s="109" t="str">
        <f t="shared" si="25"/>
        <v/>
      </c>
      <c r="AT32" s="109" t="str">
        <f t="shared" si="25"/>
        <v/>
      </c>
      <c r="AU32" s="109" t="str">
        <f t="shared" si="25"/>
        <v/>
      </c>
      <c r="AV32" s="109" t="str">
        <f t="shared" si="25"/>
        <v/>
      </c>
      <c r="AW32" s="109" t="str">
        <f t="shared" si="25"/>
        <v/>
      </c>
      <c r="AX32" s="109" t="str">
        <f t="shared" si="26"/>
        <v/>
      </c>
      <c r="AY32" s="109" t="str">
        <f t="shared" si="26"/>
        <v/>
      </c>
      <c r="AZ32" s="109" t="str">
        <f t="shared" si="26"/>
        <v/>
      </c>
      <c r="BA32" s="109" t="str">
        <f t="shared" si="26"/>
        <v/>
      </c>
      <c r="BB32" s="109" t="str">
        <f t="shared" si="26"/>
        <v/>
      </c>
      <c r="BC32" s="109" t="str">
        <f t="shared" si="26"/>
        <v/>
      </c>
      <c r="BD32" s="109" t="str">
        <f t="shared" si="26"/>
        <v/>
      </c>
      <c r="BE32" s="109" t="str">
        <f t="shared" si="26"/>
        <v/>
      </c>
      <c r="BF32" s="109" t="str">
        <f t="shared" si="26"/>
        <v/>
      </c>
      <c r="BG32" s="109" t="str">
        <f t="shared" si="26"/>
        <v/>
      </c>
      <c r="BH32" s="109" t="str">
        <f t="shared" si="27"/>
        <v/>
      </c>
      <c r="BI32" s="109" t="str">
        <f t="shared" si="27"/>
        <v/>
      </c>
      <c r="BJ32" s="109" t="str">
        <f t="shared" si="27"/>
        <v/>
      </c>
      <c r="BK32" s="109" t="str">
        <f t="shared" si="27"/>
        <v/>
      </c>
      <c r="BL32" s="109" t="str">
        <f t="shared" si="27"/>
        <v/>
      </c>
      <c r="BM32" s="109" t="str">
        <f t="shared" si="27"/>
        <v/>
      </c>
      <c r="BN32" s="109" t="str">
        <f t="shared" si="27"/>
        <v/>
      </c>
      <c r="BO32" s="109" t="str">
        <f t="shared" si="27"/>
        <v/>
      </c>
      <c r="BP32" s="109" t="str">
        <f t="shared" si="27"/>
        <v/>
      </c>
      <c r="BQ32" s="109" t="str">
        <f t="shared" si="27"/>
        <v/>
      </c>
      <c r="BR32" s="109" t="str">
        <f t="shared" si="28"/>
        <v/>
      </c>
      <c r="BS32" s="109" t="str">
        <f t="shared" si="28"/>
        <v/>
      </c>
      <c r="BT32" s="109" t="str">
        <f t="shared" si="28"/>
        <v/>
      </c>
      <c r="BU32" s="109" t="str">
        <f t="shared" si="28"/>
        <v/>
      </c>
      <c r="BV32" s="109" t="str">
        <f t="shared" si="28"/>
        <v/>
      </c>
      <c r="BW32" s="109" t="str">
        <f t="shared" si="28"/>
        <v/>
      </c>
      <c r="BX32" s="109" t="str">
        <f t="shared" si="28"/>
        <v/>
      </c>
      <c r="BY32" s="109" t="str">
        <f t="shared" si="28"/>
        <v/>
      </c>
      <c r="BZ32" s="109" t="str">
        <f t="shared" si="28"/>
        <v/>
      </c>
      <c r="CA32" s="109" t="str">
        <f t="shared" si="28"/>
        <v/>
      </c>
      <c r="CB32" s="109" t="str">
        <f t="shared" si="29"/>
        <v/>
      </c>
      <c r="CC32" s="109" t="str">
        <f t="shared" si="29"/>
        <v/>
      </c>
      <c r="CD32" s="109" t="str">
        <f t="shared" si="29"/>
        <v/>
      </c>
      <c r="CE32" s="109" t="str">
        <f t="shared" si="29"/>
        <v/>
      </c>
      <c r="CF32" s="109" t="str">
        <f t="shared" si="29"/>
        <v/>
      </c>
      <c r="CG32" s="109" t="str">
        <f t="shared" si="29"/>
        <v/>
      </c>
      <c r="CH32" s="109" t="str">
        <f t="shared" si="29"/>
        <v/>
      </c>
      <c r="CI32" s="109" t="str">
        <f t="shared" si="29"/>
        <v/>
      </c>
      <c r="CJ32" s="109" t="str">
        <f t="shared" si="29"/>
        <v/>
      </c>
      <c r="CK32" s="109" t="str">
        <f t="shared" si="29"/>
        <v/>
      </c>
      <c r="CL32" s="109" t="str">
        <f t="shared" si="30"/>
        <v/>
      </c>
      <c r="CM32" s="109" t="str">
        <f t="shared" si="30"/>
        <v/>
      </c>
      <c r="CN32" s="109" t="str">
        <f t="shared" si="30"/>
        <v/>
      </c>
      <c r="CO32" s="109" t="str">
        <f t="shared" si="30"/>
        <v/>
      </c>
      <c r="CP32" s="109" t="str">
        <f t="shared" si="30"/>
        <v/>
      </c>
      <c r="CQ32" s="109" t="str">
        <f t="shared" si="30"/>
        <v/>
      </c>
      <c r="CR32" s="109" t="str">
        <f t="shared" si="30"/>
        <v/>
      </c>
      <c r="CS32" s="109" t="str">
        <f t="shared" si="30"/>
        <v/>
      </c>
      <c r="CT32" s="109" t="str">
        <f t="shared" si="30"/>
        <v/>
      </c>
      <c r="CU32" s="109" t="str">
        <f t="shared" si="30"/>
        <v/>
      </c>
      <c r="CV32" s="109" t="str">
        <f t="shared" si="31"/>
        <v/>
      </c>
      <c r="CW32" s="109" t="str">
        <f t="shared" si="31"/>
        <v/>
      </c>
      <c r="CX32" s="109" t="str">
        <f t="shared" si="31"/>
        <v/>
      </c>
      <c r="CY32" s="109" t="str">
        <f t="shared" si="31"/>
        <v/>
      </c>
      <c r="CZ32" s="109" t="str">
        <f t="shared" si="31"/>
        <v/>
      </c>
      <c r="DA32" s="109" t="str">
        <f t="shared" si="31"/>
        <v/>
      </c>
      <c r="DB32" s="109" t="str">
        <f t="shared" si="31"/>
        <v/>
      </c>
      <c r="DC32" s="109" t="str">
        <f t="shared" si="31"/>
        <v/>
      </c>
    </row>
    <row r="33" spans="1:107" ht="26.25" customHeight="1" x14ac:dyDescent="0.25">
      <c r="A33" s="92" t="s">
        <v>322</v>
      </c>
      <c r="B33" s="76" t="s">
        <v>379</v>
      </c>
      <c r="C33" s="77" t="s">
        <v>474</v>
      </c>
      <c r="D33" s="77" t="s">
        <v>475</v>
      </c>
      <c r="E33" s="94">
        <v>46123</v>
      </c>
      <c r="F33" s="108">
        <v>4</v>
      </c>
      <c r="G33" s="110">
        <f t="shared" si="0"/>
        <v>46126</v>
      </c>
      <c r="H33" s="102">
        <v>0</v>
      </c>
      <c r="I33" s="97" t="str">
        <f t="shared" ca="1" si="1"/>
        <v>Late</v>
      </c>
      <c r="J33" s="109" t="str">
        <f t="shared" ref="J33:S45" si="32">IF(AND(J$2&gt;=$E33,J$2&lt;=$G33),1,"")</f>
        <v/>
      </c>
      <c r="K33" s="109" t="str">
        <f t="shared" si="32"/>
        <v/>
      </c>
      <c r="L33" s="109" t="str">
        <f t="shared" si="32"/>
        <v/>
      </c>
      <c r="M33" s="109" t="str">
        <f t="shared" si="32"/>
        <v/>
      </c>
      <c r="N33" s="109" t="str">
        <f t="shared" si="32"/>
        <v/>
      </c>
      <c r="O33" s="109" t="str">
        <f t="shared" si="32"/>
        <v/>
      </c>
      <c r="P33" s="109" t="str">
        <f t="shared" si="32"/>
        <v/>
      </c>
      <c r="Q33" s="109" t="str">
        <f t="shared" si="32"/>
        <v/>
      </c>
      <c r="R33" s="109" t="str">
        <f t="shared" si="32"/>
        <v/>
      </c>
      <c r="S33" s="109" t="str">
        <f t="shared" si="32"/>
        <v/>
      </c>
      <c r="T33" s="109" t="str">
        <f t="shared" ref="T33:AC45" si="33">IF(AND(T$2&gt;=$E33,T$2&lt;=$G33),1,"")</f>
        <v/>
      </c>
      <c r="U33" s="109" t="str">
        <f t="shared" si="33"/>
        <v/>
      </c>
      <c r="V33" s="109">
        <f t="shared" si="33"/>
        <v>1</v>
      </c>
      <c r="W33" s="109">
        <f t="shared" si="33"/>
        <v>1</v>
      </c>
      <c r="X33" s="109">
        <f t="shared" si="33"/>
        <v>1</v>
      </c>
      <c r="Y33" s="109">
        <f t="shared" si="33"/>
        <v>1</v>
      </c>
      <c r="Z33" s="109" t="str">
        <f t="shared" si="33"/>
        <v/>
      </c>
      <c r="AA33" s="109" t="str">
        <f t="shared" si="33"/>
        <v/>
      </c>
      <c r="AB33" s="109" t="str">
        <f t="shared" si="33"/>
        <v/>
      </c>
      <c r="AC33" s="109" t="str">
        <f t="shared" si="33"/>
        <v/>
      </c>
      <c r="AD33" s="109" t="str">
        <f t="shared" ref="AD33:AM45" si="34">IF(AND(AD$2&gt;=$E33,AD$2&lt;=$G33),1,"")</f>
        <v/>
      </c>
      <c r="AE33" s="109" t="str">
        <f t="shared" si="34"/>
        <v/>
      </c>
      <c r="AF33" s="109" t="str">
        <f t="shared" si="34"/>
        <v/>
      </c>
      <c r="AG33" s="109" t="str">
        <f t="shared" si="34"/>
        <v/>
      </c>
      <c r="AH33" s="109" t="str">
        <f t="shared" si="34"/>
        <v/>
      </c>
      <c r="AI33" s="109" t="str">
        <f t="shared" si="34"/>
        <v/>
      </c>
      <c r="AJ33" s="109" t="str">
        <f t="shared" si="34"/>
        <v/>
      </c>
      <c r="AK33" s="109" t="str">
        <f t="shared" si="34"/>
        <v/>
      </c>
      <c r="AL33" s="109" t="str">
        <f t="shared" si="34"/>
        <v/>
      </c>
      <c r="AM33" s="109" t="str">
        <f t="shared" si="34"/>
        <v/>
      </c>
      <c r="AN33" s="109" t="str">
        <f t="shared" ref="AN33:AW45" si="35">IF(AND(AN$2&gt;=$E33,AN$2&lt;=$G33),1,"")</f>
        <v/>
      </c>
      <c r="AO33" s="109" t="str">
        <f t="shared" si="35"/>
        <v/>
      </c>
      <c r="AP33" s="109" t="str">
        <f t="shared" si="35"/>
        <v/>
      </c>
      <c r="AQ33" s="109" t="str">
        <f t="shared" si="35"/>
        <v/>
      </c>
      <c r="AR33" s="109" t="str">
        <f t="shared" si="35"/>
        <v/>
      </c>
      <c r="AS33" s="109" t="str">
        <f t="shared" si="35"/>
        <v/>
      </c>
      <c r="AT33" s="109" t="str">
        <f t="shared" si="35"/>
        <v/>
      </c>
      <c r="AU33" s="109" t="str">
        <f t="shared" si="35"/>
        <v/>
      </c>
      <c r="AV33" s="109" t="str">
        <f t="shared" si="35"/>
        <v/>
      </c>
      <c r="AW33" s="109" t="str">
        <f t="shared" si="35"/>
        <v/>
      </c>
      <c r="AX33" s="109" t="str">
        <f t="shared" ref="AX33:BG45" si="36">IF(AND(AX$2&gt;=$E33,AX$2&lt;=$G33),1,"")</f>
        <v/>
      </c>
      <c r="AY33" s="109" t="str">
        <f t="shared" si="36"/>
        <v/>
      </c>
      <c r="AZ33" s="109" t="str">
        <f t="shared" si="36"/>
        <v/>
      </c>
      <c r="BA33" s="109" t="str">
        <f t="shared" si="36"/>
        <v/>
      </c>
      <c r="BB33" s="109" t="str">
        <f t="shared" si="36"/>
        <v/>
      </c>
      <c r="BC33" s="109" t="str">
        <f t="shared" si="36"/>
        <v/>
      </c>
      <c r="BD33" s="109" t="str">
        <f t="shared" si="36"/>
        <v/>
      </c>
      <c r="BE33" s="109" t="str">
        <f t="shared" si="36"/>
        <v/>
      </c>
      <c r="BF33" s="109" t="str">
        <f t="shared" si="36"/>
        <v/>
      </c>
      <c r="BG33" s="109" t="str">
        <f t="shared" si="36"/>
        <v/>
      </c>
      <c r="BH33" s="109" t="str">
        <f t="shared" ref="BH33:BQ45" si="37">IF(AND(BH$2&gt;=$E33,BH$2&lt;=$G33),1,"")</f>
        <v/>
      </c>
      <c r="BI33" s="109" t="str">
        <f t="shared" si="37"/>
        <v/>
      </c>
      <c r="BJ33" s="109" t="str">
        <f t="shared" si="37"/>
        <v/>
      </c>
      <c r="BK33" s="109" t="str">
        <f t="shared" si="37"/>
        <v/>
      </c>
      <c r="BL33" s="109" t="str">
        <f t="shared" si="37"/>
        <v/>
      </c>
      <c r="BM33" s="109" t="str">
        <f t="shared" si="37"/>
        <v/>
      </c>
      <c r="BN33" s="109" t="str">
        <f t="shared" si="37"/>
        <v/>
      </c>
      <c r="BO33" s="109" t="str">
        <f t="shared" si="37"/>
        <v/>
      </c>
      <c r="BP33" s="109" t="str">
        <f t="shared" si="37"/>
        <v/>
      </c>
      <c r="BQ33" s="109" t="str">
        <f t="shared" si="37"/>
        <v/>
      </c>
      <c r="BR33" s="109" t="str">
        <f t="shared" ref="BR33:CA45" si="38">IF(AND(BR$2&gt;=$E33,BR$2&lt;=$G33),1,"")</f>
        <v/>
      </c>
      <c r="BS33" s="109" t="str">
        <f t="shared" si="38"/>
        <v/>
      </c>
      <c r="BT33" s="109" t="str">
        <f t="shared" si="38"/>
        <v/>
      </c>
      <c r="BU33" s="109" t="str">
        <f t="shared" si="38"/>
        <v/>
      </c>
      <c r="BV33" s="109" t="str">
        <f t="shared" si="38"/>
        <v/>
      </c>
      <c r="BW33" s="109" t="str">
        <f t="shared" si="38"/>
        <v/>
      </c>
      <c r="BX33" s="109" t="str">
        <f t="shared" si="38"/>
        <v/>
      </c>
      <c r="BY33" s="109" t="str">
        <f t="shared" si="38"/>
        <v/>
      </c>
      <c r="BZ33" s="109" t="str">
        <f t="shared" si="38"/>
        <v/>
      </c>
      <c r="CA33" s="109" t="str">
        <f t="shared" si="38"/>
        <v/>
      </c>
      <c r="CB33" s="109" t="str">
        <f t="shared" ref="CB33:CK45" si="39">IF(AND(CB$2&gt;=$E33,CB$2&lt;=$G33),1,"")</f>
        <v/>
      </c>
      <c r="CC33" s="109" t="str">
        <f t="shared" si="39"/>
        <v/>
      </c>
      <c r="CD33" s="109" t="str">
        <f t="shared" si="39"/>
        <v/>
      </c>
      <c r="CE33" s="109" t="str">
        <f t="shared" si="39"/>
        <v/>
      </c>
      <c r="CF33" s="109" t="str">
        <f t="shared" si="39"/>
        <v/>
      </c>
      <c r="CG33" s="109" t="str">
        <f t="shared" si="39"/>
        <v/>
      </c>
      <c r="CH33" s="109" t="str">
        <f t="shared" si="39"/>
        <v/>
      </c>
      <c r="CI33" s="109" t="str">
        <f t="shared" si="39"/>
        <v/>
      </c>
      <c r="CJ33" s="109" t="str">
        <f t="shared" si="39"/>
        <v/>
      </c>
      <c r="CK33" s="109" t="str">
        <f t="shared" si="39"/>
        <v/>
      </c>
      <c r="CL33" s="109" t="str">
        <f t="shared" ref="CL33:CU45" si="40">IF(AND(CL$2&gt;=$E33,CL$2&lt;=$G33),1,"")</f>
        <v/>
      </c>
      <c r="CM33" s="109" t="str">
        <f t="shared" si="40"/>
        <v/>
      </c>
      <c r="CN33" s="109" t="str">
        <f t="shared" si="40"/>
        <v/>
      </c>
      <c r="CO33" s="109" t="str">
        <f t="shared" si="40"/>
        <v/>
      </c>
      <c r="CP33" s="109" t="str">
        <f t="shared" si="40"/>
        <v/>
      </c>
      <c r="CQ33" s="109" t="str">
        <f t="shared" si="40"/>
        <v/>
      </c>
      <c r="CR33" s="109" t="str">
        <f t="shared" si="40"/>
        <v/>
      </c>
      <c r="CS33" s="109" t="str">
        <f t="shared" si="40"/>
        <v/>
      </c>
      <c r="CT33" s="109" t="str">
        <f t="shared" si="40"/>
        <v/>
      </c>
      <c r="CU33" s="109" t="str">
        <f t="shared" si="40"/>
        <v/>
      </c>
      <c r="CV33" s="109" t="str">
        <f t="shared" ref="CV33:DC45" si="41">IF(AND(CV$2&gt;=$E33,CV$2&lt;=$G33),1,"")</f>
        <v/>
      </c>
      <c r="CW33" s="109" t="str">
        <f t="shared" si="41"/>
        <v/>
      </c>
      <c r="CX33" s="109" t="str">
        <f t="shared" si="41"/>
        <v/>
      </c>
      <c r="CY33" s="109" t="str">
        <f t="shared" si="41"/>
        <v/>
      </c>
      <c r="CZ33" s="109" t="str">
        <f t="shared" si="41"/>
        <v/>
      </c>
      <c r="DA33" s="109" t="str">
        <f t="shared" si="41"/>
        <v/>
      </c>
      <c r="DB33" s="109" t="str">
        <f t="shared" si="41"/>
        <v/>
      </c>
      <c r="DC33" s="109" t="str">
        <f t="shared" si="41"/>
        <v/>
      </c>
    </row>
    <row r="34" spans="1:107" ht="26.25" customHeight="1" x14ac:dyDescent="0.25">
      <c r="A34" s="92" t="s">
        <v>322</v>
      </c>
      <c r="B34" s="76" t="s">
        <v>379</v>
      </c>
      <c r="C34" s="77" t="s">
        <v>477</v>
      </c>
      <c r="D34" s="77" t="s">
        <v>477</v>
      </c>
      <c r="E34" s="94">
        <v>46131</v>
      </c>
      <c r="F34" s="108">
        <v>1</v>
      </c>
      <c r="G34" s="110">
        <f t="shared" si="0"/>
        <v>46131</v>
      </c>
      <c r="H34" s="102">
        <v>0</v>
      </c>
      <c r="I34" s="97" t="str">
        <f t="shared" ca="1" si="1"/>
        <v>Late</v>
      </c>
      <c r="J34" s="109" t="str">
        <f t="shared" si="32"/>
        <v/>
      </c>
      <c r="K34" s="109" t="str">
        <f t="shared" si="32"/>
        <v/>
      </c>
      <c r="L34" s="109" t="str">
        <f t="shared" si="32"/>
        <v/>
      </c>
      <c r="M34" s="109" t="str">
        <f t="shared" si="32"/>
        <v/>
      </c>
      <c r="N34" s="109" t="str">
        <f t="shared" si="32"/>
        <v/>
      </c>
      <c r="O34" s="109" t="str">
        <f t="shared" si="32"/>
        <v/>
      </c>
      <c r="P34" s="109" t="str">
        <f t="shared" si="32"/>
        <v/>
      </c>
      <c r="Q34" s="109" t="str">
        <f t="shared" si="32"/>
        <v/>
      </c>
      <c r="R34" s="109" t="str">
        <f t="shared" si="32"/>
        <v/>
      </c>
      <c r="S34" s="109" t="str">
        <f t="shared" si="32"/>
        <v/>
      </c>
      <c r="T34" s="109" t="str">
        <f t="shared" si="33"/>
        <v/>
      </c>
      <c r="U34" s="109" t="str">
        <f t="shared" si="33"/>
        <v/>
      </c>
      <c r="V34" s="109" t="str">
        <f t="shared" si="33"/>
        <v/>
      </c>
      <c r="W34" s="109" t="str">
        <f t="shared" si="33"/>
        <v/>
      </c>
      <c r="X34" s="109" t="str">
        <f t="shared" si="33"/>
        <v/>
      </c>
      <c r="Y34" s="109" t="str">
        <f t="shared" si="33"/>
        <v/>
      </c>
      <c r="Z34" s="109" t="str">
        <f t="shared" si="33"/>
        <v/>
      </c>
      <c r="AA34" s="109" t="str">
        <f t="shared" si="33"/>
        <v/>
      </c>
      <c r="AB34" s="109" t="str">
        <f t="shared" si="33"/>
        <v/>
      </c>
      <c r="AC34" s="109" t="str">
        <f t="shared" si="33"/>
        <v/>
      </c>
      <c r="AD34" s="109">
        <f t="shared" si="34"/>
        <v>1</v>
      </c>
      <c r="AE34" s="109" t="str">
        <f t="shared" si="34"/>
        <v/>
      </c>
      <c r="AF34" s="109" t="str">
        <f t="shared" si="34"/>
        <v/>
      </c>
      <c r="AG34" s="109" t="str">
        <f t="shared" si="34"/>
        <v/>
      </c>
      <c r="AH34" s="109" t="str">
        <f t="shared" si="34"/>
        <v/>
      </c>
      <c r="AI34" s="109" t="str">
        <f t="shared" si="34"/>
        <v/>
      </c>
      <c r="AJ34" s="109" t="str">
        <f t="shared" si="34"/>
        <v/>
      </c>
      <c r="AK34" s="109" t="str">
        <f t="shared" si="34"/>
        <v/>
      </c>
      <c r="AL34" s="109" t="str">
        <f t="shared" si="34"/>
        <v/>
      </c>
      <c r="AM34" s="109" t="str">
        <f t="shared" si="34"/>
        <v/>
      </c>
      <c r="AN34" s="109" t="str">
        <f t="shared" si="35"/>
        <v/>
      </c>
      <c r="AO34" s="109" t="str">
        <f t="shared" si="35"/>
        <v/>
      </c>
      <c r="AP34" s="109" t="str">
        <f t="shared" si="35"/>
        <v/>
      </c>
      <c r="AQ34" s="109" t="str">
        <f t="shared" si="35"/>
        <v/>
      </c>
      <c r="AR34" s="109" t="str">
        <f t="shared" si="35"/>
        <v/>
      </c>
      <c r="AS34" s="109" t="str">
        <f t="shared" si="35"/>
        <v/>
      </c>
      <c r="AT34" s="109" t="str">
        <f t="shared" si="35"/>
        <v/>
      </c>
      <c r="AU34" s="109" t="str">
        <f t="shared" si="35"/>
        <v/>
      </c>
      <c r="AV34" s="109" t="str">
        <f t="shared" si="35"/>
        <v/>
      </c>
      <c r="AW34" s="109" t="str">
        <f t="shared" si="35"/>
        <v/>
      </c>
      <c r="AX34" s="109" t="str">
        <f t="shared" si="36"/>
        <v/>
      </c>
      <c r="AY34" s="109" t="str">
        <f t="shared" si="36"/>
        <v/>
      </c>
      <c r="AZ34" s="109" t="str">
        <f t="shared" si="36"/>
        <v/>
      </c>
      <c r="BA34" s="109" t="str">
        <f t="shared" si="36"/>
        <v/>
      </c>
      <c r="BB34" s="109" t="str">
        <f t="shared" si="36"/>
        <v/>
      </c>
      <c r="BC34" s="109" t="str">
        <f t="shared" si="36"/>
        <v/>
      </c>
      <c r="BD34" s="109" t="str">
        <f t="shared" si="36"/>
        <v/>
      </c>
      <c r="BE34" s="109" t="str">
        <f t="shared" si="36"/>
        <v/>
      </c>
      <c r="BF34" s="109" t="str">
        <f t="shared" si="36"/>
        <v/>
      </c>
      <c r="BG34" s="109" t="str">
        <f t="shared" si="36"/>
        <v/>
      </c>
      <c r="BH34" s="109" t="str">
        <f t="shared" si="37"/>
        <v/>
      </c>
      <c r="BI34" s="109" t="str">
        <f t="shared" si="37"/>
        <v/>
      </c>
      <c r="BJ34" s="109" t="str">
        <f t="shared" si="37"/>
        <v/>
      </c>
      <c r="BK34" s="109" t="str">
        <f t="shared" si="37"/>
        <v/>
      </c>
      <c r="BL34" s="109" t="str">
        <f t="shared" si="37"/>
        <v/>
      </c>
      <c r="BM34" s="109" t="str">
        <f t="shared" si="37"/>
        <v/>
      </c>
      <c r="BN34" s="109" t="str">
        <f t="shared" si="37"/>
        <v/>
      </c>
      <c r="BO34" s="109" t="str">
        <f t="shared" si="37"/>
        <v/>
      </c>
      <c r="BP34" s="109" t="str">
        <f t="shared" si="37"/>
        <v/>
      </c>
      <c r="BQ34" s="109" t="str">
        <f t="shared" si="37"/>
        <v/>
      </c>
      <c r="BR34" s="109" t="str">
        <f t="shared" si="38"/>
        <v/>
      </c>
      <c r="BS34" s="109" t="str">
        <f t="shared" si="38"/>
        <v/>
      </c>
      <c r="BT34" s="109" t="str">
        <f t="shared" si="38"/>
        <v/>
      </c>
      <c r="BU34" s="109" t="str">
        <f t="shared" si="38"/>
        <v/>
      </c>
      <c r="BV34" s="109" t="str">
        <f t="shared" si="38"/>
        <v/>
      </c>
      <c r="BW34" s="109" t="str">
        <f t="shared" si="38"/>
        <v/>
      </c>
      <c r="BX34" s="109" t="str">
        <f t="shared" si="38"/>
        <v/>
      </c>
      <c r="BY34" s="109" t="str">
        <f t="shared" si="38"/>
        <v/>
      </c>
      <c r="BZ34" s="109" t="str">
        <f t="shared" si="38"/>
        <v/>
      </c>
      <c r="CA34" s="109" t="str">
        <f t="shared" si="38"/>
        <v/>
      </c>
      <c r="CB34" s="109" t="str">
        <f t="shared" si="39"/>
        <v/>
      </c>
      <c r="CC34" s="109" t="str">
        <f t="shared" si="39"/>
        <v/>
      </c>
      <c r="CD34" s="109" t="str">
        <f t="shared" si="39"/>
        <v/>
      </c>
      <c r="CE34" s="109" t="str">
        <f t="shared" si="39"/>
        <v/>
      </c>
      <c r="CF34" s="109" t="str">
        <f t="shared" si="39"/>
        <v/>
      </c>
      <c r="CG34" s="109" t="str">
        <f t="shared" si="39"/>
        <v/>
      </c>
      <c r="CH34" s="109" t="str">
        <f t="shared" si="39"/>
        <v/>
      </c>
      <c r="CI34" s="109" t="str">
        <f t="shared" si="39"/>
        <v/>
      </c>
      <c r="CJ34" s="109" t="str">
        <f t="shared" si="39"/>
        <v/>
      </c>
      <c r="CK34" s="109" t="str">
        <f t="shared" si="39"/>
        <v/>
      </c>
      <c r="CL34" s="109" t="str">
        <f t="shared" si="40"/>
        <v/>
      </c>
      <c r="CM34" s="109" t="str">
        <f t="shared" si="40"/>
        <v/>
      </c>
      <c r="CN34" s="109" t="str">
        <f t="shared" si="40"/>
        <v/>
      </c>
      <c r="CO34" s="109" t="str">
        <f t="shared" si="40"/>
        <v/>
      </c>
      <c r="CP34" s="109" t="str">
        <f t="shared" si="40"/>
        <v/>
      </c>
      <c r="CQ34" s="109" t="str">
        <f t="shared" si="40"/>
        <v/>
      </c>
      <c r="CR34" s="109" t="str">
        <f t="shared" si="40"/>
        <v/>
      </c>
      <c r="CS34" s="109" t="str">
        <f t="shared" si="40"/>
        <v/>
      </c>
      <c r="CT34" s="109" t="str">
        <f t="shared" si="40"/>
        <v/>
      </c>
      <c r="CU34" s="109" t="str">
        <f t="shared" si="40"/>
        <v/>
      </c>
      <c r="CV34" s="109" t="str">
        <f t="shared" si="41"/>
        <v/>
      </c>
      <c r="CW34" s="109" t="str">
        <f t="shared" si="41"/>
        <v/>
      </c>
      <c r="CX34" s="109" t="str">
        <f t="shared" si="41"/>
        <v/>
      </c>
      <c r="CY34" s="109" t="str">
        <f t="shared" si="41"/>
        <v/>
      </c>
      <c r="CZ34" s="109" t="str">
        <f t="shared" si="41"/>
        <v/>
      </c>
      <c r="DA34" s="109" t="str">
        <f t="shared" si="41"/>
        <v/>
      </c>
      <c r="DB34" s="109" t="str">
        <f t="shared" si="41"/>
        <v/>
      </c>
      <c r="DC34" s="109" t="str">
        <f t="shared" si="41"/>
        <v/>
      </c>
    </row>
    <row r="35" spans="1:107" ht="26.25" customHeight="1" x14ac:dyDescent="0.25">
      <c r="A35" s="92" t="s">
        <v>324</v>
      </c>
      <c r="B35" s="76" t="s">
        <v>381</v>
      </c>
      <c r="C35" s="77" t="s">
        <v>382</v>
      </c>
      <c r="D35" s="77" t="s">
        <v>382</v>
      </c>
      <c r="E35" s="94">
        <v>46115</v>
      </c>
      <c r="F35" s="108">
        <v>5</v>
      </c>
      <c r="G35" s="110">
        <f t="shared" si="0"/>
        <v>46119</v>
      </c>
      <c r="H35" s="102">
        <v>0</v>
      </c>
      <c r="I35" s="97" t="str">
        <f t="shared" ca="1" si="1"/>
        <v>Late</v>
      </c>
      <c r="J35" s="109" t="str">
        <f t="shared" si="32"/>
        <v/>
      </c>
      <c r="K35" s="109" t="str">
        <f t="shared" si="32"/>
        <v/>
      </c>
      <c r="L35" s="109" t="str">
        <f t="shared" si="32"/>
        <v/>
      </c>
      <c r="M35" s="109" t="str">
        <f t="shared" si="32"/>
        <v/>
      </c>
      <c r="N35" s="109">
        <f t="shared" si="32"/>
        <v>1</v>
      </c>
      <c r="O35" s="109">
        <f t="shared" si="32"/>
        <v>1</v>
      </c>
      <c r="P35" s="109">
        <f t="shared" si="32"/>
        <v>1</v>
      </c>
      <c r="Q35" s="109">
        <f t="shared" si="32"/>
        <v>1</v>
      </c>
      <c r="R35" s="109">
        <f t="shared" si="32"/>
        <v>1</v>
      </c>
      <c r="S35" s="109" t="str">
        <f t="shared" si="32"/>
        <v/>
      </c>
      <c r="T35" s="109" t="str">
        <f t="shared" si="33"/>
        <v/>
      </c>
      <c r="U35" s="109" t="str">
        <f t="shared" si="33"/>
        <v/>
      </c>
      <c r="V35" s="109" t="str">
        <f t="shared" si="33"/>
        <v/>
      </c>
      <c r="W35" s="109" t="str">
        <f t="shared" si="33"/>
        <v/>
      </c>
      <c r="X35" s="109" t="str">
        <f t="shared" si="33"/>
        <v/>
      </c>
      <c r="Y35" s="109" t="str">
        <f t="shared" si="33"/>
        <v/>
      </c>
      <c r="Z35" s="109" t="str">
        <f t="shared" si="33"/>
        <v/>
      </c>
      <c r="AA35" s="109" t="str">
        <f t="shared" si="33"/>
        <v/>
      </c>
      <c r="AB35" s="109" t="str">
        <f t="shared" si="33"/>
        <v/>
      </c>
      <c r="AC35" s="109" t="str">
        <f t="shared" si="33"/>
        <v/>
      </c>
      <c r="AD35" s="109" t="str">
        <f t="shared" si="34"/>
        <v/>
      </c>
      <c r="AE35" s="109" t="str">
        <f t="shared" si="34"/>
        <v/>
      </c>
      <c r="AF35" s="109" t="str">
        <f t="shared" si="34"/>
        <v/>
      </c>
      <c r="AG35" s="109" t="str">
        <f t="shared" si="34"/>
        <v/>
      </c>
      <c r="AH35" s="109" t="str">
        <f t="shared" si="34"/>
        <v/>
      </c>
      <c r="AI35" s="109" t="str">
        <f t="shared" si="34"/>
        <v/>
      </c>
      <c r="AJ35" s="109" t="str">
        <f t="shared" si="34"/>
        <v/>
      </c>
      <c r="AK35" s="109" t="str">
        <f t="shared" si="34"/>
        <v/>
      </c>
      <c r="AL35" s="109" t="str">
        <f t="shared" si="34"/>
        <v/>
      </c>
      <c r="AM35" s="109" t="str">
        <f t="shared" si="34"/>
        <v/>
      </c>
      <c r="AN35" s="109" t="str">
        <f t="shared" si="35"/>
        <v/>
      </c>
      <c r="AO35" s="109" t="str">
        <f t="shared" si="35"/>
        <v/>
      </c>
      <c r="AP35" s="109" t="str">
        <f t="shared" si="35"/>
        <v/>
      </c>
      <c r="AQ35" s="109" t="str">
        <f t="shared" si="35"/>
        <v/>
      </c>
      <c r="AR35" s="109" t="str">
        <f t="shared" si="35"/>
        <v/>
      </c>
      <c r="AS35" s="109" t="str">
        <f t="shared" si="35"/>
        <v/>
      </c>
      <c r="AT35" s="109" t="str">
        <f t="shared" si="35"/>
        <v/>
      </c>
      <c r="AU35" s="109" t="str">
        <f t="shared" si="35"/>
        <v/>
      </c>
      <c r="AV35" s="109" t="str">
        <f t="shared" si="35"/>
        <v/>
      </c>
      <c r="AW35" s="109" t="str">
        <f t="shared" si="35"/>
        <v/>
      </c>
      <c r="AX35" s="109" t="str">
        <f t="shared" si="36"/>
        <v/>
      </c>
      <c r="AY35" s="109" t="str">
        <f t="shared" si="36"/>
        <v/>
      </c>
      <c r="AZ35" s="109" t="str">
        <f t="shared" si="36"/>
        <v/>
      </c>
      <c r="BA35" s="109" t="str">
        <f t="shared" si="36"/>
        <v/>
      </c>
      <c r="BB35" s="109" t="str">
        <f t="shared" si="36"/>
        <v/>
      </c>
      <c r="BC35" s="109" t="str">
        <f t="shared" si="36"/>
        <v/>
      </c>
      <c r="BD35" s="109" t="str">
        <f t="shared" si="36"/>
        <v/>
      </c>
      <c r="BE35" s="109" t="str">
        <f t="shared" si="36"/>
        <v/>
      </c>
      <c r="BF35" s="109" t="str">
        <f t="shared" si="36"/>
        <v/>
      </c>
      <c r="BG35" s="109" t="str">
        <f t="shared" si="36"/>
        <v/>
      </c>
      <c r="BH35" s="109" t="str">
        <f t="shared" si="37"/>
        <v/>
      </c>
      <c r="BI35" s="109" t="str">
        <f t="shared" si="37"/>
        <v/>
      </c>
      <c r="BJ35" s="109" t="str">
        <f t="shared" si="37"/>
        <v/>
      </c>
      <c r="BK35" s="109" t="str">
        <f t="shared" si="37"/>
        <v/>
      </c>
      <c r="BL35" s="109" t="str">
        <f t="shared" si="37"/>
        <v/>
      </c>
      <c r="BM35" s="109" t="str">
        <f t="shared" si="37"/>
        <v/>
      </c>
      <c r="BN35" s="109" t="str">
        <f t="shared" si="37"/>
        <v/>
      </c>
      <c r="BO35" s="109" t="str">
        <f t="shared" si="37"/>
        <v/>
      </c>
      <c r="BP35" s="109" t="str">
        <f t="shared" si="37"/>
        <v/>
      </c>
      <c r="BQ35" s="109" t="str">
        <f t="shared" si="37"/>
        <v/>
      </c>
      <c r="BR35" s="109" t="str">
        <f t="shared" si="38"/>
        <v/>
      </c>
      <c r="BS35" s="109" t="str">
        <f t="shared" si="38"/>
        <v/>
      </c>
      <c r="BT35" s="109" t="str">
        <f t="shared" si="38"/>
        <v/>
      </c>
      <c r="BU35" s="109" t="str">
        <f t="shared" si="38"/>
        <v/>
      </c>
      <c r="BV35" s="109" t="str">
        <f t="shared" si="38"/>
        <v/>
      </c>
      <c r="BW35" s="109" t="str">
        <f t="shared" si="38"/>
        <v/>
      </c>
      <c r="BX35" s="109" t="str">
        <f t="shared" si="38"/>
        <v/>
      </c>
      <c r="BY35" s="109" t="str">
        <f t="shared" si="38"/>
        <v/>
      </c>
      <c r="BZ35" s="109" t="str">
        <f t="shared" si="38"/>
        <v/>
      </c>
      <c r="CA35" s="109" t="str">
        <f t="shared" si="38"/>
        <v/>
      </c>
      <c r="CB35" s="109" t="str">
        <f t="shared" si="39"/>
        <v/>
      </c>
      <c r="CC35" s="109" t="str">
        <f t="shared" si="39"/>
        <v/>
      </c>
      <c r="CD35" s="109" t="str">
        <f t="shared" si="39"/>
        <v/>
      </c>
      <c r="CE35" s="109" t="str">
        <f t="shared" si="39"/>
        <v/>
      </c>
      <c r="CF35" s="109" t="str">
        <f t="shared" si="39"/>
        <v/>
      </c>
      <c r="CG35" s="109" t="str">
        <f t="shared" si="39"/>
        <v/>
      </c>
      <c r="CH35" s="109" t="str">
        <f t="shared" si="39"/>
        <v/>
      </c>
      <c r="CI35" s="109" t="str">
        <f t="shared" si="39"/>
        <v/>
      </c>
      <c r="CJ35" s="109" t="str">
        <f t="shared" si="39"/>
        <v/>
      </c>
      <c r="CK35" s="109" t="str">
        <f t="shared" si="39"/>
        <v/>
      </c>
      <c r="CL35" s="109" t="str">
        <f t="shared" si="40"/>
        <v/>
      </c>
      <c r="CM35" s="109" t="str">
        <f t="shared" si="40"/>
        <v/>
      </c>
      <c r="CN35" s="109" t="str">
        <f t="shared" si="40"/>
        <v/>
      </c>
      <c r="CO35" s="109" t="str">
        <f t="shared" si="40"/>
        <v/>
      </c>
      <c r="CP35" s="109" t="str">
        <f t="shared" si="40"/>
        <v/>
      </c>
      <c r="CQ35" s="109" t="str">
        <f t="shared" si="40"/>
        <v/>
      </c>
      <c r="CR35" s="109" t="str">
        <f t="shared" si="40"/>
        <v/>
      </c>
      <c r="CS35" s="109" t="str">
        <f t="shared" si="40"/>
        <v/>
      </c>
      <c r="CT35" s="109" t="str">
        <f t="shared" si="40"/>
        <v/>
      </c>
      <c r="CU35" s="109" t="str">
        <f t="shared" si="40"/>
        <v/>
      </c>
      <c r="CV35" s="109" t="str">
        <f t="shared" si="41"/>
        <v/>
      </c>
      <c r="CW35" s="109" t="str">
        <f t="shared" si="41"/>
        <v/>
      </c>
      <c r="CX35" s="109" t="str">
        <f t="shared" si="41"/>
        <v/>
      </c>
      <c r="CY35" s="109" t="str">
        <f t="shared" si="41"/>
        <v/>
      </c>
      <c r="CZ35" s="109" t="str">
        <f t="shared" si="41"/>
        <v/>
      </c>
      <c r="DA35" s="109" t="str">
        <f t="shared" si="41"/>
        <v/>
      </c>
      <c r="DB35" s="109" t="str">
        <f t="shared" si="41"/>
        <v/>
      </c>
      <c r="DC35" s="109" t="str">
        <f t="shared" si="41"/>
        <v/>
      </c>
    </row>
    <row r="36" spans="1:107" ht="26.25" customHeight="1" x14ac:dyDescent="0.25">
      <c r="A36" s="92" t="s">
        <v>324</v>
      </c>
      <c r="B36" s="76" t="s">
        <v>381</v>
      </c>
      <c r="C36" s="77" t="s">
        <v>479</v>
      </c>
      <c r="D36" s="77" t="s">
        <v>382</v>
      </c>
      <c r="E36" s="94">
        <v>46121</v>
      </c>
      <c r="F36" s="108">
        <v>1</v>
      </c>
      <c r="G36" s="110">
        <f t="shared" si="0"/>
        <v>46121</v>
      </c>
      <c r="H36" s="102">
        <v>0</v>
      </c>
      <c r="I36" s="97" t="str">
        <f t="shared" ca="1" si="1"/>
        <v>Late</v>
      </c>
      <c r="J36" s="109" t="str">
        <f t="shared" si="32"/>
        <v/>
      </c>
      <c r="K36" s="109" t="str">
        <f t="shared" si="32"/>
        <v/>
      </c>
      <c r="L36" s="109" t="str">
        <f t="shared" si="32"/>
        <v/>
      </c>
      <c r="M36" s="109" t="str">
        <f t="shared" si="32"/>
        <v/>
      </c>
      <c r="N36" s="109" t="str">
        <f t="shared" si="32"/>
        <v/>
      </c>
      <c r="O36" s="109" t="str">
        <f t="shared" si="32"/>
        <v/>
      </c>
      <c r="P36" s="109" t="str">
        <f t="shared" si="32"/>
        <v/>
      </c>
      <c r="Q36" s="109" t="str">
        <f t="shared" si="32"/>
        <v/>
      </c>
      <c r="R36" s="109" t="str">
        <f t="shared" si="32"/>
        <v/>
      </c>
      <c r="S36" s="109" t="str">
        <f t="shared" si="32"/>
        <v/>
      </c>
      <c r="T36" s="109">
        <f t="shared" si="33"/>
        <v>1</v>
      </c>
      <c r="U36" s="109" t="str">
        <f t="shared" si="33"/>
        <v/>
      </c>
      <c r="V36" s="109" t="str">
        <f t="shared" si="33"/>
        <v/>
      </c>
      <c r="W36" s="109" t="str">
        <f t="shared" si="33"/>
        <v/>
      </c>
      <c r="X36" s="109" t="str">
        <f t="shared" si="33"/>
        <v/>
      </c>
      <c r="Y36" s="109" t="str">
        <f t="shared" si="33"/>
        <v/>
      </c>
      <c r="Z36" s="109" t="str">
        <f t="shared" si="33"/>
        <v/>
      </c>
      <c r="AA36" s="109" t="str">
        <f t="shared" si="33"/>
        <v/>
      </c>
      <c r="AB36" s="109" t="str">
        <f t="shared" si="33"/>
        <v/>
      </c>
      <c r="AC36" s="109" t="str">
        <f t="shared" si="33"/>
        <v/>
      </c>
      <c r="AD36" s="109" t="str">
        <f t="shared" si="34"/>
        <v/>
      </c>
      <c r="AE36" s="109" t="str">
        <f t="shared" si="34"/>
        <v/>
      </c>
      <c r="AF36" s="109" t="str">
        <f t="shared" si="34"/>
        <v/>
      </c>
      <c r="AG36" s="109" t="str">
        <f t="shared" si="34"/>
        <v/>
      </c>
      <c r="AH36" s="109" t="str">
        <f t="shared" si="34"/>
        <v/>
      </c>
      <c r="AI36" s="109" t="str">
        <f t="shared" si="34"/>
        <v/>
      </c>
      <c r="AJ36" s="109" t="str">
        <f t="shared" si="34"/>
        <v/>
      </c>
      <c r="AK36" s="109" t="str">
        <f t="shared" si="34"/>
        <v/>
      </c>
      <c r="AL36" s="109" t="str">
        <f t="shared" si="34"/>
        <v/>
      </c>
      <c r="AM36" s="109" t="str">
        <f t="shared" si="34"/>
        <v/>
      </c>
      <c r="AN36" s="109" t="str">
        <f t="shared" si="35"/>
        <v/>
      </c>
      <c r="AO36" s="109" t="str">
        <f t="shared" si="35"/>
        <v/>
      </c>
      <c r="AP36" s="109" t="str">
        <f t="shared" si="35"/>
        <v/>
      </c>
      <c r="AQ36" s="109" t="str">
        <f t="shared" si="35"/>
        <v/>
      </c>
      <c r="AR36" s="109" t="str">
        <f t="shared" si="35"/>
        <v/>
      </c>
      <c r="AS36" s="109" t="str">
        <f t="shared" si="35"/>
        <v/>
      </c>
      <c r="AT36" s="109" t="str">
        <f t="shared" si="35"/>
        <v/>
      </c>
      <c r="AU36" s="109" t="str">
        <f t="shared" si="35"/>
        <v/>
      </c>
      <c r="AV36" s="109" t="str">
        <f t="shared" si="35"/>
        <v/>
      </c>
      <c r="AW36" s="109" t="str">
        <f t="shared" si="35"/>
        <v/>
      </c>
      <c r="AX36" s="109" t="str">
        <f t="shared" si="36"/>
        <v/>
      </c>
      <c r="AY36" s="109" t="str">
        <f t="shared" si="36"/>
        <v/>
      </c>
      <c r="AZ36" s="109" t="str">
        <f t="shared" si="36"/>
        <v/>
      </c>
      <c r="BA36" s="109" t="str">
        <f t="shared" si="36"/>
        <v/>
      </c>
      <c r="BB36" s="109" t="str">
        <f t="shared" si="36"/>
        <v/>
      </c>
      <c r="BC36" s="109" t="str">
        <f t="shared" si="36"/>
        <v/>
      </c>
      <c r="BD36" s="109" t="str">
        <f t="shared" si="36"/>
        <v/>
      </c>
      <c r="BE36" s="109" t="str">
        <f t="shared" si="36"/>
        <v/>
      </c>
      <c r="BF36" s="109" t="str">
        <f t="shared" si="36"/>
        <v/>
      </c>
      <c r="BG36" s="109" t="str">
        <f t="shared" si="36"/>
        <v/>
      </c>
      <c r="BH36" s="109" t="str">
        <f t="shared" si="37"/>
        <v/>
      </c>
      <c r="BI36" s="109" t="str">
        <f t="shared" si="37"/>
        <v/>
      </c>
      <c r="BJ36" s="109" t="str">
        <f t="shared" si="37"/>
        <v/>
      </c>
      <c r="BK36" s="109" t="str">
        <f t="shared" si="37"/>
        <v/>
      </c>
      <c r="BL36" s="109" t="str">
        <f t="shared" si="37"/>
        <v/>
      </c>
      <c r="BM36" s="109" t="str">
        <f t="shared" si="37"/>
        <v/>
      </c>
      <c r="BN36" s="109" t="str">
        <f t="shared" si="37"/>
        <v/>
      </c>
      <c r="BO36" s="109" t="str">
        <f t="shared" si="37"/>
        <v/>
      </c>
      <c r="BP36" s="109" t="str">
        <f t="shared" si="37"/>
        <v/>
      </c>
      <c r="BQ36" s="109" t="str">
        <f t="shared" si="37"/>
        <v/>
      </c>
      <c r="BR36" s="109" t="str">
        <f t="shared" si="38"/>
        <v/>
      </c>
      <c r="BS36" s="109" t="str">
        <f t="shared" si="38"/>
        <v/>
      </c>
      <c r="BT36" s="109" t="str">
        <f t="shared" si="38"/>
        <v/>
      </c>
      <c r="BU36" s="109" t="str">
        <f t="shared" si="38"/>
        <v/>
      </c>
      <c r="BV36" s="109" t="str">
        <f t="shared" si="38"/>
        <v/>
      </c>
      <c r="BW36" s="109" t="str">
        <f t="shared" si="38"/>
        <v/>
      </c>
      <c r="BX36" s="109" t="str">
        <f t="shared" si="38"/>
        <v/>
      </c>
      <c r="BY36" s="109" t="str">
        <f t="shared" si="38"/>
        <v/>
      </c>
      <c r="BZ36" s="109" t="str">
        <f t="shared" si="38"/>
        <v/>
      </c>
      <c r="CA36" s="109" t="str">
        <f t="shared" si="38"/>
        <v/>
      </c>
      <c r="CB36" s="109" t="str">
        <f t="shared" si="39"/>
        <v/>
      </c>
      <c r="CC36" s="109" t="str">
        <f t="shared" si="39"/>
        <v/>
      </c>
      <c r="CD36" s="109" t="str">
        <f t="shared" si="39"/>
        <v/>
      </c>
      <c r="CE36" s="109" t="str">
        <f t="shared" si="39"/>
        <v/>
      </c>
      <c r="CF36" s="109" t="str">
        <f t="shared" si="39"/>
        <v/>
      </c>
      <c r="CG36" s="109" t="str">
        <f t="shared" si="39"/>
        <v/>
      </c>
      <c r="CH36" s="109" t="str">
        <f t="shared" si="39"/>
        <v/>
      </c>
      <c r="CI36" s="109" t="str">
        <f t="shared" si="39"/>
        <v/>
      </c>
      <c r="CJ36" s="109" t="str">
        <f t="shared" si="39"/>
        <v/>
      </c>
      <c r="CK36" s="109" t="str">
        <f t="shared" si="39"/>
        <v/>
      </c>
      <c r="CL36" s="109" t="str">
        <f t="shared" si="40"/>
        <v/>
      </c>
      <c r="CM36" s="109" t="str">
        <f t="shared" si="40"/>
        <v/>
      </c>
      <c r="CN36" s="109" t="str">
        <f t="shared" si="40"/>
        <v/>
      </c>
      <c r="CO36" s="109" t="str">
        <f t="shared" si="40"/>
        <v/>
      </c>
      <c r="CP36" s="109" t="str">
        <f t="shared" si="40"/>
        <v/>
      </c>
      <c r="CQ36" s="109" t="str">
        <f t="shared" si="40"/>
        <v/>
      </c>
      <c r="CR36" s="109" t="str">
        <f t="shared" si="40"/>
        <v/>
      </c>
      <c r="CS36" s="109" t="str">
        <f t="shared" si="40"/>
        <v/>
      </c>
      <c r="CT36" s="109" t="str">
        <f t="shared" si="40"/>
        <v/>
      </c>
      <c r="CU36" s="109" t="str">
        <f t="shared" si="40"/>
        <v/>
      </c>
      <c r="CV36" s="109" t="str">
        <f t="shared" si="41"/>
        <v/>
      </c>
      <c r="CW36" s="109" t="str">
        <f t="shared" si="41"/>
        <v/>
      </c>
      <c r="CX36" s="109" t="str">
        <f t="shared" si="41"/>
        <v/>
      </c>
      <c r="CY36" s="109" t="str">
        <f t="shared" si="41"/>
        <v/>
      </c>
      <c r="CZ36" s="109" t="str">
        <f t="shared" si="41"/>
        <v/>
      </c>
      <c r="DA36" s="109" t="str">
        <f t="shared" si="41"/>
        <v/>
      </c>
      <c r="DB36" s="109" t="str">
        <f t="shared" si="41"/>
        <v/>
      </c>
      <c r="DC36" s="109" t="str">
        <f t="shared" si="41"/>
        <v/>
      </c>
    </row>
    <row r="37" spans="1:107" ht="26.25" customHeight="1" x14ac:dyDescent="0.25">
      <c r="A37" s="92" t="s">
        <v>324</v>
      </c>
      <c r="B37" s="76" t="s">
        <v>381</v>
      </c>
      <c r="C37" s="77" t="s">
        <v>480</v>
      </c>
      <c r="D37" s="77" t="s">
        <v>468</v>
      </c>
      <c r="E37" s="94">
        <v>46123</v>
      </c>
      <c r="F37" s="108">
        <v>2</v>
      </c>
      <c r="G37" s="110">
        <f t="shared" si="0"/>
        <v>46124</v>
      </c>
      <c r="H37" s="102">
        <v>0</v>
      </c>
      <c r="I37" s="97" t="str">
        <f t="shared" ca="1" si="1"/>
        <v>Late</v>
      </c>
      <c r="J37" s="109" t="str">
        <f t="shared" si="32"/>
        <v/>
      </c>
      <c r="K37" s="109" t="str">
        <f t="shared" si="32"/>
        <v/>
      </c>
      <c r="L37" s="109" t="str">
        <f t="shared" si="32"/>
        <v/>
      </c>
      <c r="M37" s="109" t="str">
        <f t="shared" si="32"/>
        <v/>
      </c>
      <c r="N37" s="109" t="str">
        <f t="shared" si="32"/>
        <v/>
      </c>
      <c r="O37" s="109" t="str">
        <f t="shared" si="32"/>
        <v/>
      </c>
      <c r="P37" s="109" t="str">
        <f t="shared" si="32"/>
        <v/>
      </c>
      <c r="Q37" s="109" t="str">
        <f t="shared" si="32"/>
        <v/>
      </c>
      <c r="R37" s="109" t="str">
        <f t="shared" si="32"/>
        <v/>
      </c>
      <c r="S37" s="109" t="str">
        <f t="shared" si="32"/>
        <v/>
      </c>
      <c r="T37" s="109" t="str">
        <f t="shared" si="33"/>
        <v/>
      </c>
      <c r="U37" s="109" t="str">
        <f t="shared" si="33"/>
        <v/>
      </c>
      <c r="V37" s="109">
        <f t="shared" si="33"/>
        <v>1</v>
      </c>
      <c r="W37" s="109">
        <f t="shared" si="33"/>
        <v>1</v>
      </c>
      <c r="X37" s="109" t="str">
        <f t="shared" si="33"/>
        <v/>
      </c>
      <c r="Y37" s="109" t="str">
        <f t="shared" si="33"/>
        <v/>
      </c>
      <c r="Z37" s="109" t="str">
        <f t="shared" si="33"/>
        <v/>
      </c>
      <c r="AA37" s="109" t="str">
        <f t="shared" si="33"/>
        <v/>
      </c>
      <c r="AB37" s="109" t="str">
        <f t="shared" si="33"/>
        <v/>
      </c>
      <c r="AC37" s="109" t="str">
        <f t="shared" si="33"/>
        <v/>
      </c>
      <c r="AD37" s="109" t="str">
        <f t="shared" si="34"/>
        <v/>
      </c>
      <c r="AE37" s="109" t="str">
        <f t="shared" si="34"/>
        <v/>
      </c>
      <c r="AF37" s="109" t="str">
        <f t="shared" si="34"/>
        <v/>
      </c>
      <c r="AG37" s="109" t="str">
        <f t="shared" si="34"/>
        <v/>
      </c>
      <c r="AH37" s="109" t="str">
        <f t="shared" si="34"/>
        <v/>
      </c>
      <c r="AI37" s="109" t="str">
        <f t="shared" si="34"/>
        <v/>
      </c>
      <c r="AJ37" s="109" t="str">
        <f t="shared" si="34"/>
        <v/>
      </c>
      <c r="AK37" s="109" t="str">
        <f t="shared" si="34"/>
        <v/>
      </c>
      <c r="AL37" s="109" t="str">
        <f t="shared" si="34"/>
        <v/>
      </c>
      <c r="AM37" s="109" t="str">
        <f t="shared" si="34"/>
        <v/>
      </c>
      <c r="AN37" s="109" t="str">
        <f t="shared" si="35"/>
        <v/>
      </c>
      <c r="AO37" s="109" t="str">
        <f t="shared" si="35"/>
        <v/>
      </c>
      <c r="AP37" s="109" t="str">
        <f t="shared" si="35"/>
        <v/>
      </c>
      <c r="AQ37" s="109" t="str">
        <f t="shared" si="35"/>
        <v/>
      </c>
      <c r="AR37" s="109" t="str">
        <f t="shared" si="35"/>
        <v/>
      </c>
      <c r="AS37" s="109" t="str">
        <f t="shared" si="35"/>
        <v/>
      </c>
      <c r="AT37" s="109" t="str">
        <f t="shared" si="35"/>
        <v/>
      </c>
      <c r="AU37" s="109" t="str">
        <f t="shared" si="35"/>
        <v/>
      </c>
      <c r="AV37" s="109" t="str">
        <f t="shared" si="35"/>
        <v/>
      </c>
      <c r="AW37" s="109" t="str">
        <f t="shared" si="35"/>
        <v/>
      </c>
      <c r="AX37" s="109" t="str">
        <f t="shared" si="36"/>
        <v/>
      </c>
      <c r="AY37" s="109" t="str">
        <f t="shared" si="36"/>
        <v/>
      </c>
      <c r="AZ37" s="109" t="str">
        <f t="shared" si="36"/>
        <v/>
      </c>
      <c r="BA37" s="109" t="str">
        <f t="shared" si="36"/>
        <v/>
      </c>
      <c r="BB37" s="109" t="str">
        <f t="shared" si="36"/>
        <v/>
      </c>
      <c r="BC37" s="109" t="str">
        <f t="shared" si="36"/>
        <v/>
      </c>
      <c r="BD37" s="109" t="str">
        <f t="shared" si="36"/>
        <v/>
      </c>
      <c r="BE37" s="109" t="str">
        <f t="shared" si="36"/>
        <v/>
      </c>
      <c r="BF37" s="109" t="str">
        <f t="shared" si="36"/>
        <v/>
      </c>
      <c r="BG37" s="109" t="str">
        <f t="shared" si="36"/>
        <v/>
      </c>
      <c r="BH37" s="109" t="str">
        <f t="shared" si="37"/>
        <v/>
      </c>
      <c r="BI37" s="109" t="str">
        <f t="shared" si="37"/>
        <v/>
      </c>
      <c r="BJ37" s="109" t="str">
        <f t="shared" si="37"/>
        <v/>
      </c>
      <c r="BK37" s="109" t="str">
        <f t="shared" si="37"/>
        <v/>
      </c>
      <c r="BL37" s="109" t="str">
        <f t="shared" si="37"/>
        <v/>
      </c>
      <c r="BM37" s="109" t="str">
        <f t="shared" si="37"/>
        <v/>
      </c>
      <c r="BN37" s="109" t="str">
        <f t="shared" si="37"/>
        <v/>
      </c>
      <c r="BO37" s="109" t="str">
        <f t="shared" si="37"/>
        <v/>
      </c>
      <c r="BP37" s="109" t="str">
        <f t="shared" si="37"/>
        <v/>
      </c>
      <c r="BQ37" s="109" t="str">
        <f t="shared" si="37"/>
        <v/>
      </c>
      <c r="BR37" s="109" t="str">
        <f t="shared" si="38"/>
        <v/>
      </c>
      <c r="BS37" s="109" t="str">
        <f t="shared" si="38"/>
        <v/>
      </c>
      <c r="BT37" s="109" t="str">
        <f t="shared" si="38"/>
        <v/>
      </c>
      <c r="BU37" s="109" t="str">
        <f t="shared" si="38"/>
        <v/>
      </c>
      <c r="BV37" s="109" t="str">
        <f t="shared" si="38"/>
        <v/>
      </c>
      <c r="BW37" s="109" t="str">
        <f t="shared" si="38"/>
        <v/>
      </c>
      <c r="BX37" s="109" t="str">
        <f t="shared" si="38"/>
        <v/>
      </c>
      <c r="BY37" s="109" t="str">
        <f t="shared" si="38"/>
        <v/>
      </c>
      <c r="BZ37" s="109" t="str">
        <f t="shared" si="38"/>
        <v/>
      </c>
      <c r="CA37" s="109" t="str">
        <f t="shared" si="38"/>
        <v/>
      </c>
      <c r="CB37" s="109" t="str">
        <f t="shared" si="39"/>
        <v/>
      </c>
      <c r="CC37" s="109" t="str">
        <f t="shared" si="39"/>
        <v/>
      </c>
      <c r="CD37" s="109" t="str">
        <f t="shared" si="39"/>
        <v/>
      </c>
      <c r="CE37" s="109" t="str">
        <f t="shared" si="39"/>
        <v/>
      </c>
      <c r="CF37" s="109" t="str">
        <f t="shared" si="39"/>
        <v/>
      </c>
      <c r="CG37" s="109" t="str">
        <f t="shared" si="39"/>
        <v/>
      </c>
      <c r="CH37" s="109" t="str">
        <f t="shared" si="39"/>
        <v/>
      </c>
      <c r="CI37" s="109" t="str">
        <f t="shared" si="39"/>
        <v/>
      </c>
      <c r="CJ37" s="109" t="str">
        <f t="shared" si="39"/>
        <v/>
      </c>
      <c r="CK37" s="109" t="str">
        <f t="shared" si="39"/>
        <v/>
      </c>
      <c r="CL37" s="109" t="str">
        <f t="shared" si="40"/>
        <v/>
      </c>
      <c r="CM37" s="109" t="str">
        <f t="shared" si="40"/>
        <v/>
      </c>
      <c r="CN37" s="109" t="str">
        <f t="shared" si="40"/>
        <v/>
      </c>
      <c r="CO37" s="109" t="str">
        <f t="shared" si="40"/>
        <v/>
      </c>
      <c r="CP37" s="109" t="str">
        <f t="shared" si="40"/>
        <v/>
      </c>
      <c r="CQ37" s="109" t="str">
        <f t="shared" si="40"/>
        <v/>
      </c>
      <c r="CR37" s="109" t="str">
        <f t="shared" si="40"/>
        <v/>
      </c>
      <c r="CS37" s="109" t="str">
        <f t="shared" si="40"/>
        <v/>
      </c>
      <c r="CT37" s="109" t="str">
        <f t="shared" si="40"/>
        <v/>
      </c>
      <c r="CU37" s="109" t="str">
        <f t="shared" si="40"/>
        <v/>
      </c>
      <c r="CV37" s="109" t="str">
        <f t="shared" si="41"/>
        <v/>
      </c>
      <c r="CW37" s="109" t="str">
        <f t="shared" si="41"/>
        <v/>
      </c>
      <c r="CX37" s="109" t="str">
        <f t="shared" si="41"/>
        <v/>
      </c>
      <c r="CY37" s="109" t="str">
        <f t="shared" si="41"/>
        <v/>
      </c>
      <c r="CZ37" s="109" t="str">
        <f t="shared" si="41"/>
        <v/>
      </c>
      <c r="DA37" s="109" t="str">
        <f t="shared" si="41"/>
        <v/>
      </c>
      <c r="DB37" s="109" t="str">
        <f t="shared" si="41"/>
        <v/>
      </c>
      <c r="DC37" s="109" t="str">
        <f t="shared" si="41"/>
        <v/>
      </c>
    </row>
    <row r="38" spans="1:107" ht="26.25" customHeight="1" x14ac:dyDescent="0.25">
      <c r="A38" s="92" t="s">
        <v>324</v>
      </c>
      <c r="B38" s="76" t="s">
        <v>381</v>
      </c>
      <c r="C38" s="77" t="s">
        <v>467</v>
      </c>
      <c r="D38" s="77" t="s">
        <v>468</v>
      </c>
      <c r="E38" s="94">
        <v>46126</v>
      </c>
      <c r="F38" s="108">
        <v>4</v>
      </c>
      <c r="G38" s="110">
        <f t="shared" si="0"/>
        <v>46129</v>
      </c>
      <c r="H38" s="102">
        <v>0</v>
      </c>
      <c r="I38" s="97" t="str">
        <f t="shared" ca="1" si="1"/>
        <v>Late</v>
      </c>
      <c r="J38" s="109" t="str">
        <f t="shared" si="32"/>
        <v/>
      </c>
      <c r="K38" s="109" t="str">
        <f t="shared" si="32"/>
        <v/>
      </c>
      <c r="L38" s="109" t="str">
        <f t="shared" si="32"/>
        <v/>
      </c>
      <c r="M38" s="109" t="str">
        <f t="shared" si="32"/>
        <v/>
      </c>
      <c r="N38" s="109" t="str">
        <f t="shared" si="32"/>
        <v/>
      </c>
      <c r="O38" s="109" t="str">
        <f t="shared" si="32"/>
        <v/>
      </c>
      <c r="P38" s="109" t="str">
        <f t="shared" si="32"/>
        <v/>
      </c>
      <c r="Q38" s="109" t="str">
        <f t="shared" si="32"/>
        <v/>
      </c>
      <c r="R38" s="109" t="str">
        <f t="shared" si="32"/>
        <v/>
      </c>
      <c r="S38" s="109" t="str">
        <f t="shared" si="32"/>
        <v/>
      </c>
      <c r="T38" s="109" t="str">
        <f t="shared" si="33"/>
        <v/>
      </c>
      <c r="U38" s="109" t="str">
        <f t="shared" si="33"/>
        <v/>
      </c>
      <c r="V38" s="109" t="str">
        <f t="shared" si="33"/>
        <v/>
      </c>
      <c r="W38" s="109" t="str">
        <f t="shared" si="33"/>
        <v/>
      </c>
      <c r="X38" s="109" t="str">
        <f t="shared" si="33"/>
        <v/>
      </c>
      <c r="Y38" s="109">
        <f t="shared" si="33"/>
        <v>1</v>
      </c>
      <c r="Z38" s="109">
        <f t="shared" si="33"/>
        <v>1</v>
      </c>
      <c r="AA38" s="109">
        <f t="shared" si="33"/>
        <v>1</v>
      </c>
      <c r="AB38" s="109">
        <f t="shared" si="33"/>
        <v>1</v>
      </c>
      <c r="AC38" s="109" t="str">
        <f t="shared" si="33"/>
        <v/>
      </c>
      <c r="AD38" s="109" t="str">
        <f t="shared" si="34"/>
        <v/>
      </c>
      <c r="AE38" s="109" t="str">
        <f t="shared" si="34"/>
        <v/>
      </c>
      <c r="AF38" s="109" t="str">
        <f t="shared" si="34"/>
        <v/>
      </c>
      <c r="AG38" s="109" t="str">
        <f t="shared" si="34"/>
        <v/>
      </c>
      <c r="AH38" s="109" t="str">
        <f t="shared" si="34"/>
        <v/>
      </c>
      <c r="AI38" s="109" t="str">
        <f t="shared" si="34"/>
        <v/>
      </c>
      <c r="AJ38" s="109" t="str">
        <f t="shared" si="34"/>
        <v/>
      </c>
      <c r="AK38" s="109" t="str">
        <f t="shared" si="34"/>
        <v/>
      </c>
      <c r="AL38" s="109" t="str">
        <f t="shared" si="34"/>
        <v/>
      </c>
      <c r="AM38" s="109" t="str">
        <f t="shared" si="34"/>
        <v/>
      </c>
      <c r="AN38" s="109" t="str">
        <f t="shared" si="35"/>
        <v/>
      </c>
      <c r="AO38" s="109" t="str">
        <f t="shared" si="35"/>
        <v/>
      </c>
      <c r="AP38" s="109" t="str">
        <f t="shared" si="35"/>
        <v/>
      </c>
      <c r="AQ38" s="109" t="str">
        <f t="shared" si="35"/>
        <v/>
      </c>
      <c r="AR38" s="109" t="str">
        <f t="shared" si="35"/>
        <v/>
      </c>
      <c r="AS38" s="109" t="str">
        <f t="shared" si="35"/>
        <v/>
      </c>
      <c r="AT38" s="109" t="str">
        <f t="shared" si="35"/>
        <v/>
      </c>
      <c r="AU38" s="109" t="str">
        <f t="shared" si="35"/>
        <v/>
      </c>
      <c r="AV38" s="109" t="str">
        <f t="shared" si="35"/>
        <v/>
      </c>
      <c r="AW38" s="109" t="str">
        <f t="shared" si="35"/>
        <v/>
      </c>
      <c r="AX38" s="109" t="str">
        <f t="shared" si="36"/>
        <v/>
      </c>
      <c r="AY38" s="109" t="str">
        <f t="shared" si="36"/>
        <v/>
      </c>
      <c r="AZ38" s="109" t="str">
        <f t="shared" si="36"/>
        <v/>
      </c>
      <c r="BA38" s="109" t="str">
        <f t="shared" si="36"/>
        <v/>
      </c>
      <c r="BB38" s="109" t="str">
        <f t="shared" si="36"/>
        <v/>
      </c>
      <c r="BC38" s="109" t="str">
        <f t="shared" si="36"/>
        <v/>
      </c>
      <c r="BD38" s="109" t="str">
        <f t="shared" si="36"/>
        <v/>
      </c>
      <c r="BE38" s="109" t="str">
        <f t="shared" si="36"/>
        <v/>
      </c>
      <c r="BF38" s="109" t="str">
        <f t="shared" si="36"/>
        <v/>
      </c>
      <c r="BG38" s="109" t="str">
        <f t="shared" si="36"/>
        <v/>
      </c>
      <c r="BH38" s="109" t="str">
        <f t="shared" si="37"/>
        <v/>
      </c>
      <c r="BI38" s="109" t="str">
        <f t="shared" si="37"/>
        <v/>
      </c>
      <c r="BJ38" s="109" t="str">
        <f t="shared" si="37"/>
        <v/>
      </c>
      <c r="BK38" s="109" t="str">
        <f t="shared" si="37"/>
        <v/>
      </c>
      <c r="BL38" s="109" t="str">
        <f t="shared" si="37"/>
        <v/>
      </c>
      <c r="BM38" s="109" t="str">
        <f t="shared" si="37"/>
        <v/>
      </c>
      <c r="BN38" s="109" t="str">
        <f t="shared" si="37"/>
        <v/>
      </c>
      <c r="BO38" s="109" t="str">
        <f t="shared" si="37"/>
        <v/>
      </c>
      <c r="BP38" s="109" t="str">
        <f t="shared" si="37"/>
        <v/>
      </c>
      <c r="BQ38" s="109" t="str">
        <f t="shared" si="37"/>
        <v/>
      </c>
      <c r="BR38" s="109" t="str">
        <f t="shared" si="38"/>
        <v/>
      </c>
      <c r="BS38" s="109" t="str">
        <f t="shared" si="38"/>
        <v/>
      </c>
      <c r="BT38" s="109" t="str">
        <f t="shared" si="38"/>
        <v/>
      </c>
      <c r="BU38" s="109" t="str">
        <f t="shared" si="38"/>
        <v/>
      </c>
      <c r="BV38" s="109" t="str">
        <f t="shared" si="38"/>
        <v/>
      </c>
      <c r="BW38" s="109" t="str">
        <f t="shared" si="38"/>
        <v/>
      </c>
      <c r="BX38" s="109" t="str">
        <f t="shared" si="38"/>
        <v/>
      </c>
      <c r="BY38" s="109" t="str">
        <f t="shared" si="38"/>
        <v/>
      </c>
      <c r="BZ38" s="109" t="str">
        <f t="shared" si="38"/>
        <v/>
      </c>
      <c r="CA38" s="109" t="str">
        <f t="shared" si="38"/>
        <v/>
      </c>
      <c r="CB38" s="109" t="str">
        <f t="shared" si="39"/>
        <v/>
      </c>
      <c r="CC38" s="109" t="str">
        <f t="shared" si="39"/>
        <v/>
      </c>
      <c r="CD38" s="109" t="str">
        <f t="shared" si="39"/>
        <v/>
      </c>
      <c r="CE38" s="109" t="str">
        <f t="shared" si="39"/>
        <v/>
      </c>
      <c r="CF38" s="109" t="str">
        <f t="shared" si="39"/>
        <v/>
      </c>
      <c r="CG38" s="109" t="str">
        <f t="shared" si="39"/>
        <v/>
      </c>
      <c r="CH38" s="109" t="str">
        <f t="shared" si="39"/>
        <v/>
      </c>
      <c r="CI38" s="109" t="str">
        <f t="shared" si="39"/>
        <v/>
      </c>
      <c r="CJ38" s="109" t="str">
        <f t="shared" si="39"/>
        <v/>
      </c>
      <c r="CK38" s="109" t="str">
        <f t="shared" si="39"/>
        <v/>
      </c>
      <c r="CL38" s="109" t="str">
        <f t="shared" si="40"/>
        <v/>
      </c>
      <c r="CM38" s="109" t="str">
        <f t="shared" si="40"/>
        <v/>
      </c>
      <c r="CN38" s="109" t="str">
        <f t="shared" si="40"/>
        <v/>
      </c>
      <c r="CO38" s="109" t="str">
        <f t="shared" si="40"/>
        <v/>
      </c>
      <c r="CP38" s="109" t="str">
        <f t="shared" si="40"/>
        <v/>
      </c>
      <c r="CQ38" s="109" t="str">
        <f t="shared" si="40"/>
        <v/>
      </c>
      <c r="CR38" s="109" t="str">
        <f t="shared" si="40"/>
        <v/>
      </c>
      <c r="CS38" s="109" t="str">
        <f t="shared" si="40"/>
        <v/>
      </c>
      <c r="CT38" s="109" t="str">
        <f t="shared" si="40"/>
        <v/>
      </c>
      <c r="CU38" s="109" t="str">
        <f t="shared" si="40"/>
        <v/>
      </c>
      <c r="CV38" s="109" t="str">
        <f t="shared" si="41"/>
        <v/>
      </c>
      <c r="CW38" s="109" t="str">
        <f t="shared" si="41"/>
        <v/>
      </c>
      <c r="CX38" s="109" t="str">
        <f t="shared" si="41"/>
        <v/>
      </c>
      <c r="CY38" s="109" t="str">
        <f t="shared" si="41"/>
        <v/>
      </c>
      <c r="CZ38" s="109" t="str">
        <f t="shared" si="41"/>
        <v/>
      </c>
      <c r="DA38" s="109" t="str">
        <f t="shared" si="41"/>
        <v/>
      </c>
      <c r="DB38" s="109" t="str">
        <f t="shared" si="41"/>
        <v/>
      </c>
      <c r="DC38" s="109" t="str">
        <f t="shared" si="41"/>
        <v/>
      </c>
    </row>
    <row r="39" spans="1:107" ht="26.25" customHeight="1" x14ac:dyDescent="0.25">
      <c r="A39" s="92" t="s">
        <v>324</v>
      </c>
      <c r="B39" s="76" t="s">
        <v>381</v>
      </c>
      <c r="C39" s="77" t="s">
        <v>469</v>
      </c>
      <c r="D39" s="77" t="s">
        <v>469</v>
      </c>
      <c r="E39" s="94">
        <v>46132</v>
      </c>
      <c r="F39" s="108">
        <v>2</v>
      </c>
      <c r="G39" s="110">
        <f t="shared" si="0"/>
        <v>46133</v>
      </c>
      <c r="H39" s="102">
        <v>0</v>
      </c>
      <c r="I39" s="97" t="str">
        <f t="shared" ca="1" si="1"/>
        <v>Late</v>
      </c>
      <c r="J39" s="109" t="str">
        <f t="shared" si="32"/>
        <v/>
      </c>
      <c r="K39" s="109" t="str">
        <f t="shared" si="32"/>
        <v/>
      </c>
      <c r="L39" s="109" t="str">
        <f t="shared" si="32"/>
        <v/>
      </c>
      <c r="M39" s="109" t="str">
        <f t="shared" si="32"/>
        <v/>
      </c>
      <c r="N39" s="109" t="str">
        <f t="shared" si="32"/>
        <v/>
      </c>
      <c r="O39" s="109" t="str">
        <f t="shared" si="32"/>
        <v/>
      </c>
      <c r="P39" s="109" t="str">
        <f t="shared" si="32"/>
        <v/>
      </c>
      <c r="Q39" s="109" t="str">
        <f t="shared" si="32"/>
        <v/>
      </c>
      <c r="R39" s="109" t="str">
        <f t="shared" si="32"/>
        <v/>
      </c>
      <c r="S39" s="109" t="str">
        <f t="shared" si="32"/>
        <v/>
      </c>
      <c r="T39" s="109" t="str">
        <f t="shared" si="33"/>
        <v/>
      </c>
      <c r="U39" s="109" t="str">
        <f t="shared" si="33"/>
        <v/>
      </c>
      <c r="V39" s="109" t="str">
        <f t="shared" si="33"/>
        <v/>
      </c>
      <c r="W39" s="109" t="str">
        <f t="shared" si="33"/>
        <v/>
      </c>
      <c r="X39" s="109" t="str">
        <f t="shared" si="33"/>
        <v/>
      </c>
      <c r="Y39" s="109" t="str">
        <f t="shared" si="33"/>
        <v/>
      </c>
      <c r="Z39" s="109" t="str">
        <f t="shared" si="33"/>
        <v/>
      </c>
      <c r="AA39" s="109" t="str">
        <f t="shared" si="33"/>
        <v/>
      </c>
      <c r="AB39" s="109" t="str">
        <f t="shared" si="33"/>
        <v/>
      </c>
      <c r="AC39" s="109" t="str">
        <f t="shared" si="33"/>
        <v/>
      </c>
      <c r="AD39" s="109" t="str">
        <f t="shared" si="34"/>
        <v/>
      </c>
      <c r="AE39" s="109">
        <f t="shared" si="34"/>
        <v>1</v>
      </c>
      <c r="AF39" s="109">
        <f t="shared" si="34"/>
        <v>1</v>
      </c>
      <c r="AG39" s="109" t="str">
        <f t="shared" si="34"/>
        <v/>
      </c>
      <c r="AH39" s="109" t="str">
        <f t="shared" si="34"/>
        <v/>
      </c>
      <c r="AI39" s="109" t="str">
        <f t="shared" si="34"/>
        <v/>
      </c>
      <c r="AJ39" s="109" t="str">
        <f t="shared" si="34"/>
        <v/>
      </c>
      <c r="AK39" s="109" t="str">
        <f t="shared" si="34"/>
        <v/>
      </c>
      <c r="AL39" s="109" t="str">
        <f t="shared" si="34"/>
        <v/>
      </c>
      <c r="AM39" s="109" t="str">
        <f t="shared" si="34"/>
        <v/>
      </c>
      <c r="AN39" s="109" t="str">
        <f t="shared" si="35"/>
        <v/>
      </c>
      <c r="AO39" s="109" t="str">
        <f t="shared" si="35"/>
        <v/>
      </c>
      <c r="AP39" s="109" t="str">
        <f t="shared" si="35"/>
        <v/>
      </c>
      <c r="AQ39" s="109" t="str">
        <f t="shared" si="35"/>
        <v/>
      </c>
      <c r="AR39" s="109" t="str">
        <f t="shared" si="35"/>
        <v/>
      </c>
      <c r="AS39" s="109" t="str">
        <f t="shared" si="35"/>
        <v/>
      </c>
      <c r="AT39" s="109" t="str">
        <f t="shared" si="35"/>
        <v/>
      </c>
      <c r="AU39" s="109" t="str">
        <f t="shared" si="35"/>
        <v/>
      </c>
      <c r="AV39" s="109" t="str">
        <f t="shared" si="35"/>
        <v/>
      </c>
      <c r="AW39" s="109" t="str">
        <f t="shared" si="35"/>
        <v/>
      </c>
      <c r="AX39" s="109" t="str">
        <f t="shared" si="36"/>
        <v/>
      </c>
      <c r="AY39" s="109" t="str">
        <f t="shared" si="36"/>
        <v/>
      </c>
      <c r="AZ39" s="109" t="str">
        <f t="shared" si="36"/>
        <v/>
      </c>
      <c r="BA39" s="109" t="str">
        <f t="shared" si="36"/>
        <v/>
      </c>
      <c r="BB39" s="109" t="str">
        <f t="shared" si="36"/>
        <v/>
      </c>
      <c r="BC39" s="109" t="str">
        <f t="shared" si="36"/>
        <v/>
      </c>
      <c r="BD39" s="109" t="str">
        <f t="shared" si="36"/>
        <v/>
      </c>
      <c r="BE39" s="109" t="str">
        <f t="shared" si="36"/>
        <v/>
      </c>
      <c r="BF39" s="109" t="str">
        <f t="shared" si="36"/>
        <v/>
      </c>
      <c r="BG39" s="109" t="str">
        <f t="shared" si="36"/>
        <v/>
      </c>
      <c r="BH39" s="109" t="str">
        <f t="shared" si="37"/>
        <v/>
      </c>
      <c r="BI39" s="109" t="str">
        <f t="shared" si="37"/>
        <v/>
      </c>
      <c r="BJ39" s="109" t="str">
        <f t="shared" si="37"/>
        <v/>
      </c>
      <c r="BK39" s="109" t="str">
        <f t="shared" si="37"/>
        <v/>
      </c>
      <c r="BL39" s="109" t="str">
        <f t="shared" si="37"/>
        <v/>
      </c>
      <c r="BM39" s="109" t="str">
        <f t="shared" si="37"/>
        <v/>
      </c>
      <c r="BN39" s="109" t="str">
        <f t="shared" si="37"/>
        <v/>
      </c>
      <c r="BO39" s="109" t="str">
        <f t="shared" si="37"/>
        <v/>
      </c>
      <c r="BP39" s="109" t="str">
        <f t="shared" si="37"/>
        <v/>
      </c>
      <c r="BQ39" s="109" t="str">
        <f t="shared" si="37"/>
        <v/>
      </c>
      <c r="BR39" s="109" t="str">
        <f t="shared" si="38"/>
        <v/>
      </c>
      <c r="BS39" s="109" t="str">
        <f t="shared" si="38"/>
        <v/>
      </c>
      <c r="BT39" s="109" t="str">
        <f t="shared" si="38"/>
        <v/>
      </c>
      <c r="BU39" s="109" t="str">
        <f t="shared" si="38"/>
        <v/>
      </c>
      <c r="BV39" s="109" t="str">
        <f t="shared" si="38"/>
        <v/>
      </c>
      <c r="BW39" s="109" t="str">
        <f t="shared" si="38"/>
        <v/>
      </c>
      <c r="BX39" s="109" t="str">
        <f t="shared" si="38"/>
        <v/>
      </c>
      <c r="BY39" s="109" t="str">
        <f t="shared" si="38"/>
        <v/>
      </c>
      <c r="BZ39" s="109" t="str">
        <f t="shared" si="38"/>
        <v/>
      </c>
      <c r="CA39" s="109" t="str">
        <f t="shared" si="38"/>
        <v/>
      </c>
      <c r="CB39" s="109" t="str">
        <f t="shared" si="39"/>
        <v/>
      </c>
      <c r="CC39" s="109" t="str">
        <f t="shared" si="39"/>
        <v/>
      </c>
      <c r="CD39" s="109" t="str">
        <f t="shared" si="39"/>
        <v/>
      </c>
      <c r="CE39" s="109" t="str">
        <f t="shared" si="39"/>
        <v/>
      </c>
      <c r="CF39" s="109" t="str">
        <f t="shared" si="39"/>
        <v/>
      </c>
      <c r="CG39" s="109" t="str">
        <f t="shared" si="39"/>
        <v/>
      </c>
      <c r="CH39" s="109" t="str">
        <f t="shared" si="39"/>
        <v/>
      </c>
      <c r="CI39" s="109" t="str">
        <f t="shared" si="39"/>
        <v/>
      </c>
      <c r="CJ39" s="109" t="str">
        <f t="shared" si="39"/>
        <v/>
      </c>
      <c r="CK39" s="109" t="str">
        <f t="shared" si="39"/>
        <v/>
      </c>
      <c r="CL39" s="109" t="str">
        <f t="shared" si="40"/>
        <v/>
      </c>
      <c r="CM39" s="109" t="str">
        <f t="shared" si="40"/>
        <v/>
      </c>
      <c r="CN39" s="109" t="str">
        <f t="shared" si="40"/>
        <v/>
      </c>
      <c r="CO39" s="109" t="str">
        <f t="shared" si="40"/>
        <v/>
      </c>
      <c r="CP39" s="109" t="str">
        <f t="shared" si="40"/>
        <v/>
      </c>
      <c r="CQ39" s="109" t="str">
        <f t="shared" si="40"/>
        <v/>
      </c>
      <c r="CR39" s="109" t="str">
        <f t="shared" si="40"/>
        <v/>
      </c>
      <c r="CS39" s="109" t="str">
        <f t="shared" si="40"/>
        <v/>
      </c>
      <c r="CT39" s="109" t="str">
        <f t="shared" si="40"/>
        <v/>
      </c>
      <c r="CU39" s="109" t="str">
        <f t="shared" si="40"/>
        <v/>
      </c>
      <c r="CV39" s="109" t="str">
        <f t="shared" si="41"/>
        <v/>
      </c>
      <c r="CW39" s="109" t="str">
        <f t="shared" si="41"/>
        <v/>
      </c>
      <c r="CX39" s="109" t="str">
        <f t="shared" si="41"/>
        <v/>
      </c>
      <c r="CY39" s="109" t="str">
        <f t="shared" si="41"/>
        <v/>
      </c>
      <c r="CZ39" s="109" t="str">
        <f t="shared" si="41"/>
        <v/>
      </c>
      <c r="DA39" s="109" t="str">
        <f t="shared" si="41"/>
        <v/>
      </c>
      <c r="DB39" s="109" t="str">
        <f t="shared" si="41"/>
        <v/>
      </c>
      <c r="DC39" s="109" t="str">
        <f t="shared" si="41"/>
        <v/>
      </c>
    </row>
    <row r="40" spans="1:107" ht="26.25" customHeight="1" x14ac:dyDescent="0.25">
      <c r="A40" s="92" t="s">
        <v>324</v>
      </c>
      <c r="B40" s="76" t="s">
        <v>381</v>
      </c>
      <c r="C40" s="77" t="s">
        <v>472</v>
      </c>
      <c r="D40" s="77" t="s">
        <v>472</v>
      </c>
      <c r="E40" s="94">
        <v>46136</v>
      </c>
      <c r="F40" s="108">
        <v>5</v>
      </c>
      <c r="G40" s="110">
        <f t="shared" si="0"/>
        <v>46140</v>
      </c>
      <c r="H40" s="102">
        <v>0</v>
      </c>
      <c r="I40" s="97" t="str">
        <f t="shared" ca="1" si="1"/>
        <v>Late</v>
      </c>
      <c r="J40" s="109" t="str">
        <f t="shared" si="32"/>
        <v/>
      </c>
      <c r="K40" s="109" t="str">
        <f t="shared" si="32"/>
        <v/>
      </c>
      <c r="L40" s="109" t="str">
        <f t="shared" si="32"/>
        <v/>
      </c>
      <c r="M40" s="109" t="str">
        <f t="shared" si="32"/>
        <v/>
      </c>
      <c r="N40" s="109" t="str">
        <f t="shared" si="32"/>
        <v/>
      </c>
      <c r="O40" s="109" t="str">
        <f t="shared" si="32"/>
        <v/>
      </c>
      <c r="P40" s="109" t="str">
        <f t="shared" si="32"/>
        <v/>
      </c>
      <c r="Q40" s="109" t="str">
        <f t="shared" si="32"/>
        <v/>
      </c>
      <c r="R40" s="109" t="str">
        <f t="shared" si="32"/>
        <v/>
      </c>
      <c r="S40" s="109" t="str">
        <f t="shared" si="32"/>
        <v/>
      </c>
      <c r="T40" s="109" t="str">
        <f t="shared" si="33"/>
        <v/>
      </c>
      <c r="U40" s="109" t="str">
        <f t="shared" si="33"/>
        <v/>
      </c>
      <c r="V40" s="109" t="str">
        <f t="shared" si="33"/>
        <v/>
      </c>
      <c r="W40" s="109" t="str">
        <f t="shared" si="33"/>
        <v/>
      </c>
      <c r="X40" s="109" t="str">
        <f t="shared" si="33"/>
        <v/>
      </c>
      <c r="Y40" s="109" t="str">
        <f t="shared" si="33"/>
        <v/>
      </c>
      <c r="Z40" s="109" t="str">
        <f t="shared" si="33"/>
        <v/>
      </c>
      <c r="AA40" s="109" t="str">
        <f t="shared" si="33"/>
        <v/>
      </c>
      <c r="AB40" s="109" t="str">
        <f t="shared" si="33"/>
        <v/>
      </c>
      <c r="AC40" s="109" t="str">
        <f t="shared" si="33"/>
        <v/>
      </c>
      <c r="AD40" s="109" t="str">
        <f t="shared" si="34"/>
        <v/>
      </c>
      <c r="AE40" s="109" t="str">
        <f t="shared" si="34"/>
        <v/>
      </c>
      <c r="AF40" s="109" t="str">
        <f t="shared" si="34"/>
        <v/>
      </c>
      <c r="AG40" s="109" t="str">
        <f t="shared" si="34"/>
        <v/>
      </c>
      <c r="AH40" s="109" t="str">
        <f t="shared" si="34"/>
        <v/>
      </c>
      <c r="AI40" s="109">
        <f t="shared" si="34"/>
        <v>1</v>
      </c>
      <c r="AJ40" s="109">
        <f t="shared" si="34"/>
        <v>1</v>
      </c>
      <c r="AK40" s="109">
        <f t="shared" si="34"/>
        <v>1</v>
      </c>
      <c r="AL40" s="109">
        <f t="shared" si="34"/>
        <v>1</v>
      </c>
      <c r="AM40" s="109">
        <f t="shared" si="34"/>
        <v>1</v>
      </c>
      <c r="AN40" s="109" t="str">
        <f t="shared" si="35"/>
        <v/>
      </c>
      <c r="AO40" s="109" t="str">
        <f t="shared" si="35"/>
        <v/>
      </c>
      <c r="AP40" s="109" t="str">
        <f t="shared" si="35"/>
        <v/>
      </c>
      <c r="AQ40" s="109" t="str">
        <f t="shared" si="35"/>
        <v/>
      </c>
      <c r="AR40" s="109" t="str">
        <f t="shared" si="35"/>
        <v/>
      </c>
      <c r="AS40" s="109" t="str">
        <f t="shared" si="35"/>
        <v/>
      </c>
      <c r="AT40" s="109" t="str">
        <f t="shared" si="35"/>
        <v/>
      </c>
      <c r="AU40" s="109" t="str">
        <f t="shared" si="35"/>
        <v/>
      </c>
      <c r="AV40" s="109" t="str">
        <f t="shared" si="35"/>
        <v/>
      </c>
      <c r="AW40" s="109" t="str">
        <f t="shared" si="35"/>
        <v/>
      </c>
      <c r="AX40" s="109" t="str">
        <f t="shared" si="36"/>
        <v/>
      </c>
      <c r="AY40" s="109" t="str">
        <f t="shared" si="36"/>
        <v/>
      </c>
      <c r="AZ40" s="109" t="str">
        <f t="shared" si="36"/>
        <v/>
      </c>
      <c r="BA40" s="109" t="str">
        <f t="shared" si="36"/>
        <v/>
      </c>
      <c r="BB40" s="109" t="str">
        <f t="shared" si="36"/>
        <v/>
      </c>
      <c r="BC40" s="109" t="str">
        <f t="shared" si="36"/>
        <v/>
      </c>
      <c r="BD40" s="109" t="str">
        <f t="shared" si="36"/>
        <v/>
      </c>
      <c r="BE40" s="109" t="str">
        <f t="shared" si="36"/>
        <v/>
      </c>
      <c r="BF40" s="109" t="str">
        <f t="shared" si="36"/>
        <v/>
      </c>
      <c r="BG40" s="109" t="str">
        <f t="shared" si="36"/>
        <v/>
      </c>
      <c r="BH40" s="109" t="str">
        <f t="shared" si="37"/>
        <v/>
      </c>
      <c r="BI40" s="109" t="str">
        <f t="shared" si="37"/>
        <v/>
      </c>
      <c r="BJ40" s="109" t="str">
        <f t="shared" si="37"/>
        <v/>
      </c>
      <c r="BK40" s="109" t="str">
        <f t="shared" si="37"/>
        <v/>
      </c>
      <c r="BL40" s="109" t="str">
        <f t="shared" si="37"/>
        <v/>
      </c>
      <c r="BM40" s="109" t="str">
        <f t="shared" si="37"/>
        <v/>
      </c>
      <c r="BN40" s="109" t="str">
        <f t="shared" si="37"/>
        <v/>
      </c>
      <c r="BO40" s="109" t="str">
        <f t="shared" si="37"/>
        <v/>
      </c>
      <c r="BP40" s="109" t="str">
        <f t="shared" si="37"/>
        <v/>
      </c>
      <c r="BQ40" s="109" t="str">
        <f t="shared" si="37"/>
        <v/>
      </c>
      <c r="BR40" s="109" t="str">
        <f t="shared" si="38"/>
        <v/>
      </c>
      <c r="BS40" s="109" t="str">
        <f t="shared" si="38"/>
        <v/>
      </c>
      <c r="BT40" s="109" t="str">
        <f t="shared" si="38"/>
        <v/>
      </c>
      <c r="BU40" s="109" t="str">
        <f t="shared" si="38"/>
        <v/>
      </c>
      <c r="BV40" s="109" t="str">
        <f t="shared" si="38"/>
        <v/>
      </c>
      <c r="BW40" s="109" t="str">
        <f t="shared" si="38"/>
        <v/>
      </c>
      <c r="BX40" s="109" t="str">
        <f t="shared" si="38"/>
        <v/>
      </c>
      <c r="BY40" s="109" t="str">
        <f t="shared" si="38"/>
        <v/>
      </c>
      <c r="BZ40" s="109" t="str">
        <f t="shared" si="38"/>
        <v/>
      </c>
      <c r="CA40" s="109" t="str">
        <f t="shared" si="38"/>
        <v/>
      </c>
      <c r="CB40" s="109" t="str">
        <f t="shared" si="39"/>
        <v/>
      </c>
      <c r="CC40" s="109" t="str">
        <f t="shared" si="39"/>
        <v/>
      </c>
      <c r="CD40" s="109" t="str">
        <f t="shared" si="39"/>
        <v/>
      </c>
      <c r="CE40" s="109" t="str">
        <f t="shared" si="39"/>
        <v/>
      </c>
      <c r="CF40" s="109" t="str">
        <f t="shared" si="39"/>
        <v/>
      </c>
      <c r="CG40" s="109" t="str">
        <f t="shared" si="39"/>
        <v/>
      </c>
      <c r="CH40" s="109" t="str">
        <f t="shared" si="39"/>
        <v/>
      </c>
      <c r="CI40" s="109" t="str">
        <f t="shared" si="39"/>
        <v/>
      </c>
      <c r="CJ40" s="109" t="str">
        <f t="shared" si="39"/>
        <v/>
      </c>
      <c r="CK40" s="109" t="str">
        <f t="shared" si="39"/>
        <v/>
      </c>
      <c r="CL40" s="109" t="str">
        <f t="shared" si="40"/>
        <v/>
      </c>
      <c r="CM40" s="109" t="str">
        <f t="shared" si="40"/>
        <v/>
      </c>
      <c r="CN40" s="109" t="str">
        <f t="shared" si="40"/>
        <v/>
      </c>
      <c r="CO40" s="109" t="str">
        <f t="shared" si="40"/>
        <v/>
      </c>
      <c r="CP40" s="109" t="str">
        <f t="shared" si="40"/>
        <v/>
      </c>
      <c r="CQ40" s="109" t="str">
        <f t="shared" si="40"/>
        <v/>
      </c>
      <c r="CR40" s="109" t="str">
        <f t="shared" si="40"/>
        <v/>
      </c>
      <c r="CS40" s="109" t="str">
        <f t="shared" si="40"/>
        <v/>
      </c>
      <c r="CT40" s="109" t="str">
        <f t="shared" si="40"/>
        <v/>
      </c>
      <c r="CU40" s="109" t="str">
        <f t="shared" si="40"/>
        <v/>
      </c>
      <c r="CV40" s="109" t="str">
        <f t="shared" si="41"/>
        <v/>
      </c>
      <c r="CW40" s="109" t="str">
        <f t="shared" si="41"/>
        <v/>
      </c>
      <c r="CX40" s="109" t="str">
        <f t="shared" si="41"/>
        <v/>
      </c>
      <c r="CY40" s="109" t="str">
        <f t="shared" si="41"/>
        <v/>
      </c>
      <c r="CZ40" s="109" t="str">
        <f t="shared" si="41"/>
        <v/>
      </c>
      <c r="DA40" s="109" t="str">
        <f t="shared" si="41"/>
        <v/>
      </c>
      <c r="DB40" s="109" t="str">
        <f t="shared" si="41"/>
        <v/>
      </c>
      <c r="DC40" s="109" t="str">
        <f t="shared" si="41"/>
        <v/>
      </c>
    </row>
    <row r="41" spans="1:107" ht="26.25" customHeight="1" x14ac:dyDescent="0.25">
      <c r="A41" s="92" t="s">
        <v>324</v>
      </c>
      <c r="B41" s="76" t="s">
        <v>381</v>
      </c>
      <c r="C41" s="77" t="s">
        <v>478</v>
      </c>
      <c r="D41" s="77" t="s">
        <v>478</v>
      </c>
      <c r="E41" s="94">
        <v>46158</v>
      </c>
      <c r="F41" s="108">
        <v>2</v>
      </c>
      <c r="G41" s="110">
        <f t="shared" si="0"/>
        <v>46159</v>
      </c>
      <c r="H41" s="102">
        <v>0</v>
      </c>
      <c r="I41" s="97" t="str">
        <f t="shared" ca="1" si="1"/>
        <v>Late</v>
      </c>
      <c r="J41" s="109" t="str">
        <f t="shared" si="32"/>
        <v/>
      </c>
      <c r="K41" s="109" t="str">
        <f t="shared" si="32"/>
        <v/>
      </c>
      <c r="L41" s="109" t="str">
        <f t="shared" si="32"/>
        <v/>
      </c>
      <c r="M41" s="109" t="str">
        <f t="shared" si="32"/>
        <v/>
      </c>
      <c r="N41" s="109" t="str">
        <f t="shared" si="32"/>
        <v/>
      </c>
      <c r="O41" s="109" t="str">
        <f t="shared" si="32"/>
        <v/>
      </c>
      <c r="P41" s="109" t="str">
        <f t="shared" si="32"/>
        <v/>
      </c>
      <c r="Q41" s="109" t="str">
        <f t="shared" si="32"/>
        <v/>
      </c>
      <c r="R41" s="109" t="str">
        <f t="shared" si="32"/>
        <v/>
      </c>
      <c r="S41" s="109" t="str">
        <f t="shared" si="32"/>
        <v/>
      </c>
      <c r="T41" s="109" t="str">
        <f t="shared" si="33"/>
        <v/>
      </c>
      <c r="U41" s="109" t="str">
        <f t="shared" si="33"/>
        <v/>
      </c>
      <c r="V41" s="109" t="str">
        <f t="shared" si="33"/>
        <v/>
      </c>
      <c r="W41" s="109" t="str">
        <f t="shared" si="33"/>
        <v/>
      </c>
      <c r="X41" s="109" t="str">
        <f t="shared" si="33"/>
        <v/>
      </c>
      <c r="Y41" s="109" t="str">
        <f t="shared" si="33"/>
        <v/>
      </c>
      <c r="Z41" s="109" t="str">
        <f t="shared" si="33"/>
        <v/>
      </c>
      <c r="AA41" s="109" t="str">
        <f t="shared" si="33"/>
        <v/>
      </c>
      <c r="AB41" s="109" t="str">
        <f t="shared" si="33"/>
        <v/>
      </c>
      <c r="AC41" s="109" t="str">
        <f t="shared" si="33"/>
        <v/>
      </c>
      <c r="AD41" s="109" t="str">
        <f t="shared" si="34"/>
        <v/>
      </c>
      <c r="AE41" s="109" t="str">
        <f t="shared" si="34"/>
        <v/>
      </c>
      <c r="AF41" s="109" t="str">
        <f t="shared" si="34"/>
        <v/>
      </c>
      <c r="AG41" s="109" t="str">
        <f t="shared" si="34"/>
        <v/>
      </c>
      <c r="AH41" s="109" t="str">
        <f t="shared" si="34"/>
        <v/>
      </c>
      <c r="AI41" s="109" t="str">
        <f t="shared" si="34"/>
        <v/>
      </c>
      <c r="AJ41" s="109" t="str">
        <f t="shared" si="34"/>
        <v/>
      </c>
      <c r="AK41" s="109" t="str">
        <f t="shared" si="34"/>
        <v/>
      </c>
      <c r="AL41" s="109" t="str">
        <f t="shared" si="34"/>
        <v/>
      </c>
      <c r="AM41" s="109" t="str">
        <f t="shared" si="34"/>
        <v/>
      </c>
      <c r="AN41" s="109" t="str">
        <f t="shared" si="35"/>
        <v/>
      </c>
      <c r="AO41" s="109" t="str">
        <f t="shared" si="35"/>
        <v/>
      </c>
      <c r="AP41" s="109" t="str">
        <f t="shared" si="35"/>
        <v/>
      </c>
      <c r="AQ41" s="109" t="str">
        <f t="shared" si="35"/>
        <v/>
      </c>
      <c r="AR41" s="109" t="str">
        <f t="shared" si="35"/>
        <v/>
      </c>
      <c r="AS41" s="109" t="str">
        <f t="shared" si="35"/>
        <v/>
      </c>
      <c r="AT41" s="109" t="str">
        <f t="shared" si="35"/>
        <v/>
      </c>
      <c r="AU41" s="109" t="str">
        <f t="shared" si="35"/>
        <v/>
      </c>
      <c r="AV41" s="109" t="str">
        <f t="shared" si="35"/>
        <v/>
      </c>
      <c r="AW41" s="109" t="str">
        <f t="shared" si="35"/>
        <v/>
      </c>
      <c r="AX41" s="109" t="str">
        <f t="shared" si="36"/>
        <v/>
      </c>
      <c r="AY41" s="109" t="str">
        <f t="shared" si="36"/>
        <v/>
      </c>
      <c r="AZ41" s="109" t="str">
        <f t="shared" si="36"/>
        <v/>
      </c>
      <c r="BA41" s="109" t="str">
        <f t="shared" si="36"/>
        <v/>
      </c>
      <c r="BB41" s="109" t="str">
        <f t="shared" si="36"/>
        <v/>
      </c>
      <c r="BC41" s="109" t="str">
        <f t="shared" si="36"/>
        <v/>
      </c>
      <c r="BD41" s="109" t="str">
        <f t="shared" si="36"/>
        <v/>
      </c>
      <c r="BE41" s="109">
        <f t="shared" si="36"/>
        <v>1</v>
      </c>
      <c r="BF41" s="109">
        <f t="shared" si="36"/>
        <v>1</v>
      </c>
      <c r="BG41" s="109" t="str">
        <f t="shared" si="36"/>
        <v/>
      </c>
      <c r="BH41" s="109" t="str">
        <f t="shared" si="37"/>
        <v/>
      </c>
      <c r="BI41" s="109" t="str">
        <f t="shared" si="37"/>
        <v/>
      </c>
      <c r="BJ41" s="109" t="str">
        <f t="shared" si="37"/>
        <v/>
      </c>
      <c r="BK41" s="109" t="str">
        <f t="shared" si="37"/>
        <v/>
      </c>
      <c r="BL41" s="109" t="str">
        <f t="shared" si="37"/>
        <v/>
      </c>
      <c r="BM41" s="109" t="str">
        <f t="shared" si="37"/>
        <v/>
      </c>
      <c r="BN41" s="109" t="str">
        <f t="shared" si="37"/>
        <v/>
      </c>
      <c r="BO41" s="109" t="str">
        <f t="shared" si="37"/>
        <v/>
      </c>
      <c r="BP41" s="109" t="str">
        <f t="shared" si="37"/>
        <v/>
      </c>
      <c r="BQ41" s="109" t="str">
        <f t="shared" si="37"/>
        <v/>
      </c>
      <c r="BR41" s="109" t="str">
        <f t="shared" si="38"/>
        <v/>
      </c>
      <c r="BS41" s="109" t="str">
        <f t="shared" si="38"/>
        <v/>
      </c>
      <c r="BT41" s="109" t="str">
        <f t="shared" si="38"/>
        <v/>
      </c>
      <c r="BU41" s="109" t="str">
        <f t="shared" si="38"/>
        <v/>
      </c>
      <c r="BV41" s="109" t="str">
        <f t="shared" si="38"/>
        <v/>
      </c>
      <c r="BW41" s="109" t="str">
        <f t="shared" si="38"/>
        <v/>
      </c>
      <c r="BX41" s="109" t="str">
        <f t="shared" si="38"/>
        <v/>
      </c>
      <c r="BY41" s="109" t="str">
        <f t="shared" si="38"/>
        <v/>
      </c>
      <c r="BZ41" s="109" t="str">
        <f t="shared" si="38"/>
        <v/>
      </c>
      <c r="CA41" s="109" t="str">
        <f t="shared" si="38"/>
        <v/>
      </c>
      <c r="CB41" s="109" t="str">
        <f t="shared" si="39"/>
        <v/>
      </c>
      <c r="CC41" s="109" t="str">
        <f t="shared" si="39"/>
        <v/>
      </c>
      <c r="CD41" s="109" t="str">
        <f t="shared" si="39"/>
        <v/>
      </c>
      <c r="CE41" s="109" t="str">
        <f t="shared" si="39"/>
        <v/>
      </c>
      <c r="CF41" s="109" t="str">
        <f t="shared" si="39"/>
        <v/>
      </c>
      <c r="CG41" s="109" t="str">
        <f t="shared" si="39"/>
        <v/>
      </c>
      <c r="CH41" s="109" t="str">
        <f t="shared" si="39"/>
        <v/>
      </c>
      <c r="CI41" s="109" t="str">
        <f t="shared" si="39"/>
        <v/>
      </c>
      <c r="CJ41" s="109" t="str">
        <f t="shared" si="39"/>
        <v/>
      </c>
      <c r="CK41" s="109" t="str">
        <f t="shared" si="39"/>
        <v/>
      </c>
      <c r="CL41" s="109" t="str">
        <f t="shared" si="40"/>
        <v/>
      </c>
      <c r="CM41" s="109" t="str">
        <f t="shared" si="40"/>
        <v/>
      </c>
      <c r="CN41" s="109" t="str">
        <f t="shared" si="40"/>
        <v/>
      </c>
      <c r="CO41" s="109" t="str">
        <f t="shared" si="40"/>
        <v/>
      </c>
      <c r="CP41" s="109" t="str">
        <f t="shared" si="40"/>
        <v/>
      </c>
      <c r="CQ41" s="109" t="str">
        <f t="shared" si="40"/>
        <v/>
      </c>
      <c r="CR41" s="109" t="str">
        <f t="shared" si="40"/>
        <v/>
      </c>
      <c r="CS41" s="109" t="str">
        <f t="shared" si="40"/>
        <v/>
      </c>
      <c r="CT41" s="109" t="str">
        <f t="shared" si="40"/>
        <v/>
      </c>
      <c r="CU41" s="109" t="str">
        <f t="shared" si="40"/>
        <v/>
      </c>
      <c r="CV41" s="109" t="str">
        <f t="shared" si="41"/>
        <v/>
      </c>
      <c r="CW41" s="109" t="str">
        <f t="shared" si="41"/>
        <v/>
      </c>
      <c r="CX41" s="109" t="str">
        <f t="shared" si="41"/>
        <v/>
      </c>
      <c r="CY41" s="109" t="str">
        <f t="shared" si="41"/>
        <v/>
      </c>
      <c r="CZ41" s="109" t="str">
        <f t="shared" si="41"/>
        <v/>
      </c>
      <c r="DA41" s="109" t="str">
        <f t="shared" si="41"/>
        <v/>
      </c>
      <c r="DB41" s="109" t="str">
        <f t="shared" si="41"/>
        <v/>
      </c>
      <c r="DC41" s="109" t="str">
        <f t="shared" si="41"/>
        <v/>
      </c>
    </row>
    <row r="42" spans="1:107" ht="26.25" customHeight="1" x14ac:dyDescent="0.25">
      <c r="A42" s="92" t="s">
        <v>330</v>
      </c>
      <c r="B42" s="76" t="s">
        <v>389</v>
      </c>
      <c r="C42" s="77" t="s">
        <v>469</v>
      </c>
      <c r="D42" s="77" t="s">
        <v>469</v>
      </c>
      <c r="E42" s="94">
        <v>46103</v>
      </c>
      <c r="F42" s="108">
        <v>2</v>
      </c>
      <c r="G42" s="110">
        <f t="shared" si="0"/>
        <v>46104</v>
      </c>
      <c r="H42" s="102">
        <v>1</v>
      </c>
      <c r="I42" s="97" t="str">
        <f t="shared" ca="1" si="1"/>
        <v>Done</v>
      </c>
      <c r="J42" s="109" t="str">
        <f t="shared" si="32"/>
        <v/>
      </c>
      <c r="K42" s="109" t="str">
        <f t="shared" si="32"/>
        <v/>
      </c>
      <c r="L42" s="109" t="str">
        <f t="shared" si="32"/>
        <v/>
      </c>
      <c r="M42" s="109" t="str">
        <f t="shared" si="32"/>
        <v/>
      </c>
      <c r="N42" s="109" t="str">
        <f t="shared" si="32"/>
        <v/>
      </c>
      <c r="O42" s="109" t="str">
        <f t="shared" si="32"/>
        <v/>
      </c>
      <c r="P42" s="109" t="str">
        <f t="shared" si="32"/>
        <v/>
      </c>
      <c r="Q42" s="109" t="str">
        <f t="shared" si="32"/>
        <v/>
      </c>
      <c r="R42" s="109" t="str">
        <f t="shared" si="32"/>
        <v/>
      </c>
      <c r="S42" s="109" t="str">
        <f t="shared" si="32"/>
        <v/>
      </c>
      <c r="T42" s="109" t="str">
        <f t="shared" si="33"/>
        <v/>
      </c>
      <c r="U42" s="109" t="str">
        <f t="shared" si="33"/>
        <v/>
      </c>
      <c r="V42" s="109" t="str">
        <f t="shared" si="33"/>
        <v/>
      </c>
      <c r="W42" s="109" t="str">
        <f t="shared" si="33"/>
        <v/>
      </c>
      <c r="X42" s="109" t="str">
        <f t="shared" si="33"/>
        <v/>
      </c>
      <c r="Y42" s="109" t="str">
        <f t="shared" si="33"/>
        <v/>
      </c>
      <c r="Z42" s="109" t="str">
        <f t="shared" si="33"/>
        <v/>
      </c>
      <c r="AA42" s="109" t="str">
        <f t="shared" si="33"/>
        <v/>
      </c>
      <c r="AB42" s="109" t="str">
        <f t="shared" si="33"/>
        <v/>
      </c>
      <c r="AC42" s="109" t="str">
        <f t="shared" si="33"/>
        <v/>
      </c>
      <c r="AD42" s="109" t="str">
        <f t="shared" si="34"/>
        <v/>
      </c>
      <c r="AE42" s="109" t="str">
        <f t="shared" si="34"/>
        <v/>
      </c>
      <c r="AF42" s="109" t="str">
        <f t="shared" si="34"/>
        <v/>
      </c>
      <c r="AG42" s="109" t="str">
        <f t="shared" si="34"/>
        <v/>
      </c>
      <c r="AH42" s="109" t="str">
        <f t="shared" si="34"/>
        <v/>
      </c>
      <c r="AI42" s="109" t="str">
        <f t="shared" si="34"/>
        <v/>
      </c>
      <c r="AJ42" s="109" t="str">
        <f t="shared" si="34"/>
        <v/>
      </c>
      <c r="AK42" s="109" t="str">
        <f t="shared" si="34"/>
        <v/>
      </c>
      <c r="AL42" s="109" t="str">
        <f t="shared" si="34"/>
        <v/>
      </c>
      <c r="AM42" s="109" t="str">
        <f t="shared" si="34"/>
        <v/>
      </c>
      <c r="AN42" s="109" t="str">
        <f t="shared" si="35"/>
        <v/>
      </c>
      <c r="AO42" s="109" t="str">
        <f t="shared" si="35"/>
        <v/>
      </c>
      <c r="AP42" s="109" t="str">
        <f t="shared" si="35"/>
        <v/>
      </c>
      <c r="AQ42" s="109" t="str">
        <f t="shared" si="35"/>
        <v/>
      </c>
      <c r="AR42" s="109" t="str">
        <f t="shared" si="35"/>
        <v/>
      </c>
      <c r="AS42" s="109" t="str">
        <f t="shared" si="35"/>
        <v/>
      </c>
      <c r="AT42" s="109" t="str">
        <f t="shared" si="35"/>
        <v/>
      </c>
      <c r="AU42" s="109" t="str">
        <f t="shared" si="35"/>
        <v/>
      </c>
      <c r="AV42" s="109" t="str">
        <f t="shared" si="35"/>
        <v/>
      </c>
      <c r="AW42" s="109" t="str">
        <f t="shared" si="35"/>
        <v/>
      </c>
      <c r="AX42" s="109" t="str">
        <f t="shared" si="36"/>
        <v/>
      </c>
      <c r="AY42" s="109" t="str">
        <f t="shared" si="36"/>
        <v/>
      </c>
      <c r="AZ42" s="109" t="str">
        <f t="shared" si="36"/>
        <v/>
      </c>
      <c r="BA42" s="109" t="str">
        <f t="shared" si="36"/>
        <v/>
      </c>
      <c r="BB42" s="109" t="str">
        <f t="shared" si="36"/>
        <v/>
      </c>
      <c r="BC42" s="109" t="str">
        <f t="shared" si="36"/>
        <v/>
      </c>
      <c r="BD42" s="109" t="str">
        <f t="shared" si="36"/>
        <v/>
      </c>
      <c r="BE42" s="109" t="str">
        <f t="shared" si="36"/>
        <v/>
      </c>
      <c r="BF42" s="109" t="str">
        <f t="shared" si="36"/>
        <v/>
      </c>
      <c r="BG42" s="109" t="str">
        <f t="shared" si="36"/>
        <v/>
      </c>
      <c r="BH42" s="109" t="str">
        <f t="shared" si="37"/>
        <v/>
      </c>
      <c r="BI42" s="109" t="str">
        <f t="shared" si="37"/>
        <v/>
      </c>
      <c r="BJ42" s="109" t="str">
        <f t="shared" si="37"/>
        <v/>
      </c>
      <c r="BK42" s="109" t="str">
        <f t="shared" si="37"/>
        <v/>
      </c>
      <c r="BL42" s="109" t="str">
        <f t="shared" si="37"/>
        <v/>
      </c>
      <c r="BM42" s="109" t="str">
        <f t="shared" si="37"/>
        <v/>
      </c>
      <c r="BN42" s="109" t="str">
        <f t="shared" si="37"/>
        <v/>
      </c>
      <c r="BO42" s="109" t="str">
        <f t="shared" si="37"/>
        <v/>
      </c>
      <c r="BP42" s="109" t="str">
        <f t="shared" si="37"/>
        <v/>
      </c>
      <c r="BQ42" s="109" t="str">
        <f t="shared" si="37"/>
        <v/>
      </c>
      <c r="BR42" s="109" t="str">
        <f t="shared" si="38"/>
        <v/>
      </c>
      <c r="BS42" s="109" t="str">
        <f t="shared" si="38"/>
        <v/>
      </c>
      <c r="BT42" s="109" t="str">
        <f t="shared" si="38"/>
        <v/>
      </c>
      <c r="BU42" s="109" t="str">
        <f t="shared" si="38"/>
        <v/>
      </c>
      <c r="BV42" s="109" t="str">
        <f t="shared" si="38"/>
        <v/>
      </c>
      <c r="BW42" s="109" t="str">
        <f t="shared" si="38"/>
        <v/>
      </c>
      <c r="BX42" s="109" t="str">
        <f t="shared" si="38"/>
        <v/>
      </c>
      <c r="BY42" s="109" t="str">
        <f t="shared" si="38"/>
        <v/>
      </c>
      <c r="BZ42" s="109" t="str">
        <f t="shared" si="38"/>
        <v/>
      </c>
      <c r="CA42" s="109" t="str">
        <f t="shared" si="38"/>
        <v/>
      </c>
      <c r="CB42" s="109" t="str">
        <f t="shared" si="39"/>
        <v/>
      </c>
      <c r="CC42" s="109" t="str">
        <f t="shared" si="39"/>
        <v/>
      </c>
      <c r="CD42" s="109" t="str">
        <f t="shared" si="39"/>
        <v/>
      </c>
      <c r="CE42" s="109" t="str">
        <f t="shared" si="39"/>
        <v/>
      </c>
      <c r="CF42" s="109" t="str">
        <f t="shared" si="39"/>
        <v/>
      </c>
      <c r="CG42" s="109" t="str">
        <f t="shared" si="39"/>
        <v/>
      </c>
      <c r="CH42" s="109" t="str">
        <f t="shared" si="39"/>
        <v/>
      </c>
      <c r="CI42" s="109" t="str">
        <f t="shared" si="39"/>
        <v/>
      </c>
      <c r="CJ42" s="109" t="str">
        <f t="shared" si="39"/>
        <v/>
      </c>
      <c r="CK42" s="109" t="str">
        <f t="shared" si="39"/>
        <v/>
      </c>
      <c r="CL42" s="109" t="str">
        <f t="shared" si="40"/>
        <v/>
      </c>
      <c r="CM42" s="109" t="str">
        <f t="shared" si="40"/>
        <v/>
      </c>
      <c r="CN42" s="109" t="str">
        <f t="shared" si="40"/>
        <v/>
      </c>
      <c r="CO42" s="109" t="str">
        <f t="shared" si="40"/>
        <v/>
      </c>
      <c r="CP42" s="109" t="str">
        <f t="shared" si="40"/>
        <v/>
      </c>
      <c r="CQ42" s="109" t="str">
        <f t="shared" si="40"/>
        <v/>
      </c>
      <c r="CR42" s="109" t="str">
        <f t="shared" si="40"/>
        <v/>
      </c>
      <c r="CS42" s="109" t="str">
        <f t="shared" si="40"/>
        <v/>
      </c>
      <c r="CT42" s="109" t="str">
        <f t="shared" si="40"/>
        <v/>
      </c>
      <c r="CU42" s="109" t="str">
        <f t="shared" si="40"/>
        <v/>
      </c>
      <c r="CV42" s="109" t="str">
        <f t="shared" si="41"/>
        <v/>
      </c>
      <c r="CW42" s="109" t="str">
        <f t="shared" si="41"/>
        <v/>
      </c>
      <c r="CX42" s="109" t="str">
        <f t="shared" si="41"/>
        <v/>
      </c>
      <c r="CY42" s="109" t="str">
        <f t="shared" si="41"/>
        <v/>
      </c>
      <c r="CZ42" s="109" t="str">
        <f t="shared" si="41"/>
        <v/>
      </c>
      <c r="DA42" s="109" t="str">
        <f t="shared" si="41"/>
        <v/>
      </c>
      <c r="DB42" s="109" t="str">
        <f t="shared" si="41"/>
        <v/>
      </c>
      <c r="DC42" s="109" t="str">
        <f t="shared" si="41"/>
        <v/>
      </c>
    </row>
    <row r="43" spans="1:107" ht="26.25" customHeight="1" x14ac:dyDescent="0.25">
      <c r="A43" s="92" t="s">
        <v>330</v>
      </c>
      <c r="B43" s="76" t="s">
        <v>389</v>
      </c>
      <c r="C43" s="77" t="s">
        <v>472</v>
      </c>
      <c r="D43" s="77" t="s">
        <v>472</v>
      </c>
      <c r="E43" s="94">
        <v>46107</v>
      </c>
      <c r="F43" s="108">
        <v>3</v>
      </c>
      <c r="G43" s="110">
        <f t="shared" si="0"/>
        <v>46109</v>
      </c>
      <c r="H43" s="102">
        <v>1</v>
      </c>
      <c r="I43" s="97" t="str">
        <f t="shared" ca="1" si="1"/>
        <v>Done</v>
      </c>
      <c r="J43" s="109" t="str">
        <f t="shared" si="32"/>
        <v/>
      </c>
      <c r="K43" s="109" t="str">
        <f t="shared" si="32"/>
        <v/>
      </c>
      <c r="L43" s="109" t="str">
        <f t="shared" si="32"/>
        <v/>
      </c>
      <c r="M43" s="109" t="str">
        <f t="shared" si="32"/>
        <v/>
      </c>
      <c r="N43" s="109" t="str">
        <f t="shared" si="32"/>
        <v/>
      </c>
      <c r="O43" s="109" t="str">
        <f t="shared" si="32"/>
        <v/>
      </c>
      <c r="P43" s="109" t="str">
        <f t="shared" si="32"/>
        <v/>
      </c>
      <c r="Q43" s="109" t="str">
        <f t="shared" si="32"/>
        <v/>
      </c>
      <c r="R43" s="109" t="str">
        <f t="shared" si="32"/>
        <v/>
      </c>
      <c r="S43" s="109" t="str">
        <f t="shared" si="32"/>
        <v/>
      </c>
      <c r="T43" s="109" t="str">
        <f t="shared" si="33"/>
        <v/>
      </c>
      <c r="U43" s="109" t="str">
        <f t="shared" si="33"/>
        <v/>
      </c>
      <c r="V43" s="109" t="str">
        <f t="shared" si="33"/>
        <v/>
      </c>
      <c r="W43" s="109" t="str">
        <f t="shared" si="33"/>
        <v/>
      </c>
      <c r="X43" s="109" t="str">
        <f t="shared" si="33"/>
        <v/>
      </c>
      <c r="Y43" s="109" t="str">
        <f t="shared" si="33"/>
        <v/>
      </c>
      <c r="Z43" s="109" t="str">
        <f t="shared" si="33"/>
        <v/>
      </c>
      <c r="AA43" s="109" t="str">
        <f t="shared" si="33"/>
        <v/>
      </c>
      <c r="AB43" s="109" t="str">
        <f t="shared" si="33"/>
        <v/>
      </c>
      <c r="AC43" s="109" t="str">
        <f t="shared" si="33"/>
        <v/>
      </c>
      <c r="AD43" s="109" t="str">
        <f t="shared" si="34"/>
        <v/>
      </c>
      <c r="AE43" s="109" t="str">
        <f t="shared" si="34"/>
        <v/>
      </c>
      <c r="AF43" s="109" t="str">
        <f t="shared" si="34"/>
        <v/>
      </c>
      <c r="AG43" s="109" t="str">
        <f t="shared" si="34"/>
        <v/>
      </c>
      <c r="AH43" s="109" t="str">
        <f t="shared" si="34"/>
        <v/>
      </c>
      <c r="AI43" s="109" t="str">
        <f t="shared" si="34"/>
        <v/>
      </c>
      <c r="AJ43" s="109" t="str">
        <f t="shared" si="34"/>
        <v/>
      </c>
      <c r="AK43" s="109" t="str">
        <f t="shared" si="34"/>
        <v/>
      </c>
      <c r="AL43" s="109" t="str">
        <f t="shared" si="34"/>
        <v/>
      </c>
      <c r="AM43" s="109" t="str">
        <f t="shared" si="34"/>
        <v/>
      </c>
      <c r="AN43" s="109" t="str">
        <f t="shared" si="35"/>
        <v/>
      </c>
      <c r="AO43" s="109" t="str">
        <f t="shared" si="35"/>
        <v/>
      </c>
      <c r="AP43" s="109" t="str">
        <f t="shared" si="35"/>
        <v/>
      </c>
      <c r="AQ43" s="109" t="str">
        <f t="shared" si="35"/>
        <v/>
      </c>
      <c r="AR43" s="109" t="str">
        <f t="shared" si="35"/>
        <v/>
      </c>
      <c r="AS43" s="109" t="str">
        <f t="shared" si="35"/>
        <v/>
      </c>
      <c r="AT43" s="109" t="str">
        <f t="shared" si="35"/>
        <v/>
      </c>
      <c r="AU43" s="109" t="str">
        <f t="shared" si="35"/>
        <v/>
      </c>
      <c r="AV43" s="109" t="str">
        <f t="shared" si="35"/>
        <v/>
      </c>
      <c r="AW43" s="109" t="str">
        <f t="shared" si="35"/>
        <v/>
      </c>
      <c r="AX43" s="109" t="str">
        <f t="shared" si="36"/>
        <v/>
      </c>
      <c r="AY43" s="109" t="str">
        <f t="shared" si="36"/>
        <v/>
      </c>
      <c r="AZ43" s="109" t="str">
        <f t="shared" si="36"/>
        <v/>
      </c>
      <c r="BA43" s="109" t="str">
        <f t="shared" si="36"/>
        <v/>
      </c>
      <c r="BB43" s="109" t="str">
        <f t="shared" si="36"/>
        <v/>
      </c>
      <c r="BC43" s="109" t="str">
        <f t="shared" si="36"/>
        <v/>
      </c>
      <c r="BD43" s="109" t="str">
        <f t="shared" si="36"/>
        <v/>
      </c>
      <c r="BE43" s="109" t="str">
        <f t="shared" si="36"/>
        <v/>
      </c>
      <c r="BF43" s="109" t="str">
        <f t="shared" si="36"/>
        <v/>
      </c>
      <c r="BG43" s="109" t="str">
        <f t="shared" si="36"/>
        <v/>
      </c>
      <c r="BH43" s="109" t="str">
        <f t="shared" si="37"/>
        <v/>
      </c>
      <c r="BI43" s="109" t="str">
        <f t="shared" si="37"/>
        <v/>
      </c>
      <c r="BJ43" s="109" t="str">
        <f t="shared" si="37"/>
        <v/>
      </c>
      <c r="BK43" s="109" t="str">
        <f t="shared" si="37"/>
        <v/>
      </c>
      <c r="BL43" s="109" t="str">
        <f t="shared" si="37"/>
        <v/>
      </c>
      <c r="BM43" s="109" t="str">
        <f t="shared" si="37"/>
        <v/>
      </c>
      <c r="BN43" s="109" t="str">
        <f t="shared" si="37"/>
        <v/>
      </c>
      <c r="BO43" s="109" t="str">
        <f t="shared" si="37"/>
        <v/>
      </c>
      <c r="BP43" s="109" t="str">
        <f t="shared" si="37"/>
        <v/>
      </c>
      <c r="BQ43" s="109" t="str">
        <f t="shared" si="37"/>
        <v/>
      </c>
      <c r="BR43" s="109" t="str">
        <f t="shared" si="38"/>
        <v/>
      </c>
      <c r="BS43" s="109" t="str">
        <f t="shared" si="38"/>
        <v/>
      </c>
      <c r="BT43" s="109" t="str">
        <f t="shared" si="38"/>
        <v/>
      </c>
      <c r="BU43" s="109" t="str">
        <f t="shared" si="38"/>
        <v/>
      </c>
      <c r="BV43" s="109" t="str">
        <f t="shared" si="38"/>
        <v/>
      </c>
      <c r="BW43" s="109" t="str">
        <f t="shared" si="38"/>
        <v/>
      </c>
      <c r="BX43" s="109" t="str">
        <f t="shared" si="38"/>
        <v/>
      </c>
      <c r="BY43" s="109" t="str">
        <f t="shared" si="38"/>
        <v/>
      </c>
      <c r="BZ43" s="109" t="str">
        <f t="shared" si="38"/>
        <v/>
      </c>
      <c r="CA43" s="109" t="str">
        <f t="shared" si="38"/>
        <v/>
      </c>
      <c r="CB43" s="109" t="str">
        <f t="shared" si="39"/>
        <v/>
      </c>
      <c r="CC43" s="109" t="str">
        <f t="shared" si="39"/>
        <v/>
      </c>
      <c r="CD43" s="109" t="str">
        <f t="shared" si="39"/>
        <v/>
      </c>
      <c r="CE43" s="109" t="str">
        <f t="shared" si="39"/>
        <v/>
      </c>
      <c r="CF43" s="109" t="str">
        <f t="shared" si="39"/>
        <v/>
      </c>
      <c r="CG43" s="109" t="str">
        <f t="shared" si="39"/>
        <v/>
      </c>
      <c r="CH43" s="109" t="str">
        <f t="shared" si="39"/>
        <v/>
      </c>
      <c r="CI43" s="109" t="str">
        <f t="shared" si="39"/>
        <v/>
      </c>
      <c r="CJ43" s="109" t="str">
        <f t="shared" si="39"/>
        <v/>
      </c>
      <c r="CK43" s="109" t="str">
        <f t="shared" si="39"/>
        <v/>
      </c>
      <c r="CL43" s="109" t="str">
        <f t="shared" si="40"/>
        <v/>
      </c>
      <c r="CM43" s="109" t="str">
        <f t="shared" si="40"/>
        <v/>
      </c>
      <c r="CN43" s="109" t="str">
        <f t="shared" si="40"/>
        <v/>
      </c>
      <c r="CO43" s="109" t="str">
        <f t="shared" si="40"/>
        <v/>
      </c>
      <c r="CP43" s="109" t="str">
        <f t="shared" si="40"/>
        <v/>
      </c>
      <c r="CQ43" s="109" t="str">
        <f t="shared" si="40"/>
        <v/>
      </c>
      <c r="CR43" s="109" t="str">
        <f t="shared" si="40"/>
        <v/>
      </c>
      <c r="CS43" s="109" t="str">
        <f t="shared" si="40"/>
        <v/>
      </c>
      <c r="CT43" s="109" t="str">
        <f t="shared" si="40"/>
        <v/>
      </c>
      <c r="CU43" s="109" t="str">
        <f t="shared" si="40"/>
        <v/>
      </c>
      <c r="CV43" s="109" t="str">
        <f t="shared" si="41"/>
        <v/>
      </c>
      <c r="CW43" s="109" t="str">
        <f t="shared" si="41"/>
        <v/>
      </c>
      <c r="CX43" s="109" t="str">
        <f t="shared" si="41"/>
        <v/>
      </c>
      <c r="CY43" s="109" t="str">
        <f t="shared" si="41"/>
        <v/>
      </c>
      <c r="CZ43" s="109" t="str">
        <f t="shared" si="41"/>
        <v/>
      </c>
      <c r="DA43" s="109" t="str">
        <f t="shared" si="41"/>
        <v/>
      </c>
      <c r="DB43" s="109" t="str">
        <f t="shared" si="41"/>
        <v/>
      </c>
      <c r="DC43" s="109" t="str">
        <f t="shared" si="41"/>
        <v/>
      </c>
    </row>
    <row r="44" spans="1:107" ht="26.25" customHeight="1" x14ac:dyDescent="0.25">
      <c r="A44" s="92" t="s">
        <v>330</v>
      </c>
      <c r="B44" s="76" t="s">
        <v>389</v>
      </c>
      <c r="C44" s="77" t="s">
        <v>474</v>
      </c>
      <c r="D44" s="77" t="s">
        <v>475</v>
      </c>
      <c r="E44" s="94">
        <v>46111</v>
      </c>
      <c r="F44" s="108">
        <v>3</v>
      </c>
      <c r="G44" s="110">
        <f t="shared" si="0"/>
        <v>46113</v>
      </c>
      <c r="H44" s="102">
        <v>0.66666666666666696</v>
      </c>
      <c r="I44" s="97" t="str">
        <f t="shared" ca="1" si="1"/>
        <v>Late</v>
      </c>
      <c r="J44" s="109">
        <f t="shared" si="32"/>
        <v>1</v>
      </c>
      <c r="K44" s="109">
        <f t="shared" si="32"/>
        <v>1</v>
      </c>
      <c r="L44" s="109">
        <f t="shared" si="32"/>
        <v>1</v>
      </c>
      <c r="M44" s="109" t="str">
        <f t="shared" si="32"/>
        <v/>
      </c>
      <c r="N44" s="109" t="str">
        <f t="shared" si="32"/>
        <v/>
      </c>
      <c r="O44" s="109" t="str">
        <f t="shared" si="32"/>
        <v/>
      </c>
      <c r="P44" s="109" t="str">
        <f t="shared" si="32"/>
        <v/>
      </c>
      <c r="Q44" s="109" t="str">
        <f t="shared" si="32"/>
        <v/>
      </c>
      <c r="R44" s="109" t="str">
        <f t="shared" si="32"/>
        <v/>
      </c>
      <c r="S44" s="109" t="str">
        <f t="shared" si="32"/>
        <v/>
      </c>
      <c r="T44" s="109" t="str">
        <f t="shared" si="33"/>
        <v/>
      </c>
      <c r="U44" s="109" t="str">
        <f t="shared" si="33"/>
        <v/>
      </c>
      <c r="V44" s="109" t="str">
        <f t="shared" si="33"/>
        <v/>
      </c>
      <c r="W44" s="109" t="str">
        <f t="shared" si="33"/>
        <v/>
      </c>
      <c r="X44" s="109" t="str">
        <f t="shared" si="33"/>
        <v/>
      </c>
      <c r="Y44" s="109" t="str">
        <f t="shared" si="33"/>
        <v/>
      </c>
      <c r="Z44" s="109" t="str">
        <f t="shared" si="33"/>
        <v/>
      </c>
      <c r="AA44" s="109" t="str">
        <f t="shared" si="33"/>
        <v/>
      </c>
      <c r="AB44" s="109" t="str">
        <f t="shared" si="33"/>
        <v/>
      </c>
      <c r="AC44" s="109" t="str">
        <f t="shared" si="33"/>
        <v/>
      </c>
      <c r="AD44" s="109" t="str">
        <f t="shared" si="34"/>
        <v/>
      </c>
      <c r="AE44" s="109" t="str">
        <f t="shared" si="34"/>
        <v/>
      </c>
      <c r="AF44" s="109" t="str">
        <f t="shared" si="34"/>
        <v/>
      </c>
      <c r="AG44" s="109" t="str">
        <f t="shared" si="34"/>
        <v/>
      </c>
      <c r="AH44" s="109" t="str">
        <f t="shared" si="34"/>
        <v/>
      </c>
      <c r="AI44" s="109" t="str">
        <f t="shared" si="34"/>
        <v/>
      </c>
      <c r="AJ44" s="109" t="str">
        <f t="shared" si="34"/>
        <v/>
      </c>
      <c r="AK44" s="109" t="str">
        <f t="shared" si="34"/>
        <v/>
      </c>
      <c r="AL44" s="109" t="str">
        <f t="shared" si="34"/>
        <v/>
      </c>
      <c r="AM44" s="109" t="str">
        <f t="shared" si="34"/>
        <v/>
      </c>
      <c r="AN44" s="109" t="str">
        <f t="shared" si="35"/>
        <v/>
      </c>
      <c r="AO44" s="109" t="str">
        <f t="shared" si="35"/>
        <v/>
      </c>
      <c r="AP44" s="109" t="str">
        <f t="shared" si="35"/>
        <v/>
      </c>
      <c r="AQ44" s="109" t="str">
        <f t="shared" si="35"/>
        <v/>
      </c>
      <c r="AR44" s="109" t="str">
        <f t="shared" si="35"/>
        <v/>
      </c>
      <c r="AS44" s="109" t="str">
        <f t="shared" si="35"/>
        <v/>
      </c>
      <c r="AT44" s="109" t="str">
        <f t="shared" si="35"/>
        <v/>
      </c>
      <c r="AU44" s="109" t="str">
        <f t="shared" si="35"/>
        <v/>
      </c>
      <c r="AV44" s="109" t="str">
        <f t="shared" si="35"/>
        <v/>
      </c>
      <c r="AW44" s="109" t="str">
        <f t="shared" si="35"/>
        <v/>
      </c>
      <c r="AX44" s="109" t="str">
        <f t="shared" si="36"/>
        <v/>
      </c>
      <c r="AY44" s="109" t="str">
        <f t="shared" si="36"/>
        <v/>
      </c>
      <c r="AZ44" s="109" t="str">
        <f t="shared" si="36"/>
        <v/>
      </c>
      <c r="BA44" s="109" t="str">
        <f t="shared" si="36"/>
        <v/>
      </c>
      <c r="BB44" s="109" t="str">
        <f t="shared" si="36"/>
        <v/>
      </c>
      <c r="BC44" s="109" t="str">
        <f t="shared" si="36"/>
        <v/>
      </c>
      <c r="BD44" s="109" t="str">
        <f t="shared" si="36"/>
        <v/>
      </c>
      <c r="BE44" s="109" t="str">
        <f t="shared" si="36"/>
        <v/>
      </c>
      <c r="BF44" s="109" t="str">
        <f t="shared" si="36"/>
        <v/>
      </c>
      <c r="BG44" s="109" t="str">
        <f t="shared" si="36"/>
        <v/>
      </c>
      <c r="BH44" s="109" t="str">
        <f t="shared" si="37"/>
        <v/>
      </c>
      <c r="BI44" s="109" t="str">
        <f t="shared" si="37"/>
        <v/>
      </c>
      <c r="BJ44" s="109" t="str">
        <f t="shared" si="37"/>
        <v/>
      </c>
      <c r="BK44" s="109" t="str">
        <f t="shared" si="37"/>
        <v/>
      </c>
      <c r="BL44" s="109" t="str">
        <f t="shared" si="37"/>
        <v/>
      </c>
      <c r="BM44" s="109" t="str">
        <f t="shared" si="37"/>
        <v/>
      </c>
      <c r="BN44" s="109" t="str">
        <f t="shared" si="37"/>
        <v/>
      </c>
      <c r="BO44" s="109" t="str">
        <f t="shared" si="37"/>
        <v/>
      </c>
      <c r="BP44" s="109" t="str">
        <f t="shared" si="37"/>
        <v/>
      </c>
      <c r="BQ44" s="109" t="str">
        <f t="shared" si="37"/>
        <v/>
      </c>
      <c r="BR44" s="109" t="str">
        <f t="shared" si="38"/>
        <v/>
      </c>
      <c r="BS44" s="109" t="str">
        <f t="shared" si="38"/>
        <v/>
      </c>
      <c r="BT44" s="109" t="str">
        <f t="shared" si="38"/>
        <v/>
      </c>
      <c r="BU44" s="109" t="str">
        <f t="shared" si="38"/>
        <v/>
      </c>
      <c r="BV44" s="109" t="str">
        <f t="shared" si="38"/>
        <v/>
      </c>
      <c r="BW44" s="109" t="str">
        <f t="shared" si="38"/>
        <v/>
      </c>
      <c r="BX44" s="109" t="str">
        <f t="shared" si="38"/>
        <v/>
      </c>
      <c r="BY44" s="109" t="str">
        <f t="shared" si="38"/>
        <v/>
      </c>
      <c r="BZ44" s="109" t="str">
        <f t="shared" si="38"/>
        <v/>
      </c>
      <c r="CA44" s="109" t="str">
        <f t="shared" si="38"/>
        <v/>
      </c>
      <c r="CB44" s="109" t="str">
        <f t="shared" si="39"/>
        <v/>
      </c>
      <c r="CC44" s="109" t="str">
        <f t="shared" si="39"/>
        <v/>
      </c>
      <c r="CD44" s="109" t="str">
        <f t="shared" si="39"/>
        <v/>
      </c>
      <c r="CE44" s="109" t="str">
        <f t="shared" si="39"/>
        <v/>
      </c>
      <c r="CF44" s="109" t="str">
        <f t="shared" si="39"/>
        <v/>
      </c>
      <c r="CG44" s="109" t="str">
        <f t="shared" si="39"/>
        <v/>
      </c>
      <c r="CH44" s="109" t="str">
        <f t="shared" si="39"/>
        <v/>
      </c>
      <c r="CI44" s="109" t="str">
        <f t="shared" si="39"/>
        <v/>
      </c>
      <c r="CJ44" s="109" t="str">
        <f t="shared" si="39"/>
        <v/>
      </c>
      <c r="CK44" s="109" t="str">
        <f t="shared" si="39"/>
        <v/>
      </c>
      <c r="CL44" s="109" t="str">
        <f t="shared" si="40"/>
        <v/>
      </c>
      <c r="CM44" s="109" t="str">
        <f t="shared" si="40"/>
        <v/>
      </c>
      <c r="CN44" s="109" t="str">
        <f t="shared" si="40"/>
        <v/>
      </c>
      <c r="CO44" s="109" t="str">
        <f t="shared" si="40"/>
        <v/>
      </c>
      <c r="CP44" s="109" t="str">
        <f t="shared" si="40"/>
        <v/>
      </c>
      <c r="CQ44" s="109" t="str">
        <f t="shared" si="40"/>
        <v/>
      </c>
      <c r="CR44" s="109" t="str">
        <f t="shared" si="40"/>
        <v/>
      </c>
      <c r="CS44" s="109" t="str">
        <f t="shared" si="40"/>
        <v/>
      </c>
      <c r="CT44" s="109" t="str">
        <f t="shared" si="40"/>
        <v/>
      </c>
      <c r="CU44" s="109" t="str">
        <f t="shared" si="40"/>
        <v/>
      </c>
      <c r="CV44" s="109" t="str">
        <f t="shared" si="41"/>
        <v/>
      </c>
      <c r="CW44" s="109" t="str">
        <f t="shared" si="41"/>
        <v/>
      </c>
      <c r="CX44" s="109" t="str">
        <f t="shared" si="41"/>
        <v/>
      </c>
      <c r="CY44" s="109" t="str">
        <f t="shared" si="41"/>
        <v/>
      </c>
      <c r="CZ44" s="109" t="str">
        <f t="shared" si="41"/>
        <v/>
      </c>
      <c r="DA44" s="109" t="str">
        <f t="shared" si="41"/>
        <v/>
      </c>
      <c r="DB44" s="109" t="str">
        <f t="shared" si="41"/>
        <v/>
      </c>
      <c r="DC44" s="109" t="str">
        <f t="shared" si="41"/>
        <v/>
      </c>
    </row>
    <row r="45" spans="1:107" ht="26.25" customHeight="1" x14ac:dyDescent="0.25">
      <c r="A45" s="92" t="s">
        <v>330</v>
      </c>
      <c r="B45" s="76" t="s">
        <v>389</v>
      </c>
      <c r="C45" s="77" t="s">
        <v>477</v>
      </c>
      <c r="D45" s="77" t="s">
        <v>477</v>
      </c>
      <c r="E45" s="94">
        <v>46114</v>
      </c>
      <c r="F45" s="108">
        <v>1</v>
      </c>
      <c r="G45" s="110">
        <f t="shared" si="0"/>
        <v>46114</v>
      </c>
      <c r="H45" s="102">
        <v>0</v>
      </c>
      <c r="I45" s="97" t="str">
        <f t="shared" ca="1" si="1"/>
        <v>Late</v>
      </c>
      <c r="J45" s="109" t="str">
        <f t="shared" si="32"/>
        <v/>
      </c>
      <c r="K45" s="109" t="str">
        <f t="shared" si="32"/>
        <v/>
      </c>
      <c r="L45" s="109" t="str">
        <f t="shared" si="32"/>
        <v/>
      </c>
      <c r="M45" s="109">
        <f t="shared" si="32"/>
        <v>1</v>
      </c>
      <c r="N45" s="109" t="str">
        <f t="shared" si="32"/>
        <v/>
      </c>
      <c r="O45" s="109" t="str">
        <f t="shared" si="32"/>
        <v/>
      </c>
      <c r="P45" s="109" t="str">
        <f t="shared" si="32"/>
        <v/>
      </c>
      <c r="Q45" s="109" t="str">
        <f t="shared" si="32"/>
        <v/>
      </c>
      <c r="R45" s="109" t="str">
        <f t="shared" si="32"/>
        <v/>
      </c>
      <c r="S45" s="109" t="str">
        <f t="shared" si="32"/>
        <v/>
      </c>
      <c r="T45" s="109" t="str">
        <f t="shared" si="33"/>
        <v/>
      </c>
      <c r="U45" s="109" t="str">
        <f t="shared" si="33"/>
        <v/>
      </c>
      <c r="V45" s="109" t="str">
        <f t="shared" si="33"/>
        <v/>
      </c>
      <c r="W45" s="109" t="str">
        <f t="shared" si="33"/>
        <v/>
      </c>
      <c r="X45" s="109" t="str">
        <f t="shared" si="33"/>
        <v/>
      </c>
      <c r="Y45" s="109" t="str">
        <f t="shared" si="33"/>
        <v/>
      </c>
      <c r="Z45" s="109" t="str">
        <f t="shared" si="33"/>
        <v/>
      </c>
      <c r="AA45" s="109" t="str">
        <f t="shared" si="33"/>
        <v/>
      </c>
      <c r="AB45" s="109" t="str">
        <f t="shared" si="33"/>
        <v/>
      </c>
      <c r="AC45" s="109" t="str">
        <f t="shared" si="33"/>
        <v/>
      </c>
      <c r="AD45" s="109" t="str">
        <f t="shared" si="34"/>
        <v/>
      </c>
      <c r="AE45" s="109" t="str">
        <f t="shared" si="34"/>
        <v/>
      </c>
      <c r="AF45" s="109" t="str">
        <f t="shared" si="34"/>
        <v/>
      </c>
      <c r="AG45" s="109" t="str">
        <f t="shared" si="34"/>
        <v/>
      </c>
      <c r="AH45" s="109" t="str">
        <f t="shared" si="34"/>
        <v/>
      </c>
      <c r="AI45" s="109" t="str">
        <f t="shared" si="34"/>
        <v/>
      </c>
      <c r="AJ45" s="109" t="str">
        <f t="shared" si="34"/>
        <v/>
      </c>
      <c r="AK45" s="109" t="str">
        <f t="shared" si="34"/>
        <v/>
      </c>
      <c r="AL45" s="109" t="str">
        <f t="shared" si="34"/>
        <v/>
      </c>
      <c r="AM45" s="109" t="str">
        <f t="shared" si="34"/>
        <v/>
      </c>
      <c r="AN45" s="109" t="str">
        <f t="shared" si="35"/>
        <v/>
      </c>
      <c r="AO45" s="109" t="str">
        <f t="shared" si="35"/>
        <v/>
      </c>
      <c r="AP45" s="109" t="str">
        <f t="shared" si="35"/>
        <v/>
      </c>
      <c r="AQ45" s="109" t="str">
        <f t="shared" si="35"/>
        <v/>
      </c>
      <c r="AR45" s="109" t="str">
        <f t="shared" si="35"/>
        <v/>
      </c>
      <c r="AS45" s="109" t="str">
        <f t="shared" si="35"/>
        <v/>
      </c>
      <c r="AT45" s="109" t="str">
        <f t="shared" si="35"/>
        <v/>
      </c>
      <c r="AU45" s="109" t="str">
        <f t="shared" si="35"/>
        <v/>
      </c>
      <c r="AV45" s="109" t="str">
        <f t="shared" si="35"/>
        <v/>
      </c>
      <c r="AW45" s="109" t="str">
        <f t="shared" si="35"/>
        <v/>
      </c>
      <c r="AX45" s="109" t="str">
        <f t="shared" si="36"/>
        <v/>
      </c>
      <c r="AY45" s="109" t="str">
        <f t="shared" si="36"/>
        <v/>
      </c>
      <c r="AZ45" s="109" t="str">
        <f t="shared" si="36"/>
        <v/>
      </c>
      <c r="BA45" s="109" t="str">
        <f t="shared" si="36"/>
        <v/>
      </c>
      <c r="BB45" s="109" t="str">
        <f t="shared" si="36"/>
        <v/>
      </c>
      <c r="BC45" s="109" t="str">
        <f t="shared" si="36"/>
        <v/>
      </c>
      <c r="BD45" s="109" t="str">
        <f t="shared" si="36"/>
        <v/>
      </c>
      <c r="BE45" s="109" t="str">
        <f t="shared" si="36"/>
        <v/>
      </c>
      <c r="BF45" s="109" t="str">
        <f t="shared" si="36"/>
        <v/>
      </c>
      <c r="BG45" s="109" t="str">
        <f t="shared" si="36"/>
        <v/>
      </c>
      <c r="BH45" s="109" t="str">
        <f t="shared" si="37"/>
        <v/>
      </c>
      <c r="BI45" s="109" t="str">
        <f t="shared" si="37"/>
        <v/>
      </c>
      <c r="BJ45" s="109" t="str">
        <f t="shared" si="37"/>
        <v/>
      </c>
      <c r="BK45" s="109" t="str">
        <f t="shared" si="37"/>
        <v/>
      </c>
      <c r="BL45" s="109" t="str">
        <f t="shared" si="37"/>
        <v/>
      </c>
      <c r="BM45" s="109" t="str">
        <f t="shared" si="37"/>
        <v/>
      </c>
      <c r="BN45" s="109" t="str">
        <f t="shared" si="37"/>
        <v/>
      </c>
      <c r="BO45" s="109" t="str">
        <f t="shared" si="37"/>
        <v/>
      </c>
      <c r="BP45" s="109" t="str">
        <f t="shared" si="37"/>
        <v/>
      </c>
      <c r="BQ45" s="109" t="str">
        <f t="shared" si="37"/>
        <v/>
      </c>
      <c r="BR45" s="109" t="str">
        <f t="shared" si="38"/>
        <v/>
      </c>
      <c r="BS45" s="109" t="str">
        <f t="shared" si="38"/>
        <v/>
      </c>
      <c r="BT45" s="109" t="str">
        <f t="shared" si="38"/>
        <v/>
      </c>
      <c r="BU45" s="109" t="str">
        <f t="shared" si="38"/>
        <v/>
      </c>
      <c r="BV45" s="109" t="str">
        <f t="shared" si="38"/>
        <v/>
      </c>
      <c r="BW45" s="109" t="str">
        <f t="shared" si="38"/>
        <v/>
      </c>
      <c r="BX45" s="109" t="str">
        <f t="shared" si="38"/>
        <v/>
      </c>
      <c r="BY45" s="109" t="str">
        <f t="shared" si="38"/>
        <v/>
      </c>
      <c r="BZ45" s="109" t="str">
        <f t="shared" si="38"/>
        <v/>
      </c>
      <c r="CA45" s="109" t="str">
        <f t="shared" si="38"/>
        <v/>
      </c>
      <c r="CB45" s="109" t="str">
        <f t="shared" si="39"/>
        <v/>
      </c>
      <c r="CC45" s="109" t="str">
        <f t="shared" si="39"/>
        <v/>
      </c>
      <c r="CD45" s="109" t="str">
        <f t="shared" si="39"/>
        <v/>
      </c>
      <c r="CE45" s="109" t="str">
        <f t="shared" si="39"/>
        <v/>
      </c>
      <c r="CF45" s="109" t="str">
        <f t="shared" si="39"/>
        <v/>
      </c>
      <c r="CG45" s="109" t="str">
        <f t="shared" si="39"/>
        <v/>
      </c>
      <c r="CH45" s="109" t="str">
        <f t="shared" si="39"/>
        <v/>
      </c>
      <c r="CI45" s="109" t="str">
        <f t="shared" si="39"/>
        <v/>
      </c>
      <c r="CJ45" s="109" t="str">
        <f t="shared" si="39"/>
        <v/>
      </c>
      <c r="CK45" s="109" t="str">
        <f t="shared" si="39"/>
        <v/>
      </c>
      <c r="CL45" s="109" t="str">
        <f t="shared" si="40"/>
        <v/>
      </c>
      <c r="CM45" s="109" t="str">
        <f t="shared" si="40"/>
        <v/>
      </c>
      <c r="CN45" s="109" t="str">
        <f t="shared" si="40"/>
        <v/>
      </c>
      <c r="CO45" s="109" t="str">
        <f t="shared" si="40"/>
        <v/>
      </c>
      <c r="CP45" s="109" t="str">
        <f t="shared" si="40"/>
        <v/>
      </c>
      <c r="CQ45" s="109" t="str">
        <f t="shared" si="40"/>
        <v/>
      </c>
      <c r="CR45" s="109" t="str">
        <f t="shared" si="40"/>
        <v/>
      </c>
      <c r="CS45" s="109" t="str">
        <f t="shared" si="40"/>
        <v/>
      </c>
      <c r="CT45" s="109" t="str">
        <f t="shared" si="40"/>
        <v/>
      </c>
      <c r="CU45" s="109" t="str">
        <f t="shared" si="40"/>
        <v/>
      </c>
      <c r="CV45" s="109" t="str">
        <f t="shared" si="41"/>
        <v/>
      </c>
      <c r="CW45" s="109" t="str">
        <f t="shared" si="41"/>
        <v/>
      </c>
      <c r="CX45" s="109" t="str">
        <f t="shared" si="41"/>
        <v/>
      </c>
      <c r="CY45" s="109" t="str">
        <f t="shared" si="41"/>
        <v/>
      </c>
      <c r="CZ45" s="109" t="str">
        <f t="shared" si="41"/>
        <v/>
      </c>
      <c r="DA45" s="109" t="str">
        <f t="shared" si="41"/>
        <v/>
      </c>
      <c r="DB45" s="109" t="str">
        <f t="shared" si="41"/>
        <v/>
      </c>
      <c r="DC45" s="109" t="str">
        <f t="shared" si="41"/>
        <v/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  <mergeCells count="1">
    <mergeCell ref="A1:AD1"/>
  </mergeCells>
  <conditionalFormatting sqref="I3:I45">
    <cfRule type="expression" dxfId="68" priority="7">
      <formula>$I3="Late"</formula>
    </cfRule>
    <cfRule type="expression" dxfId="67" priority="8">
      <formula>$I3="Done"</formula>
    </cfRule>
    <cfRule type="expression" dxfId="66" priority="9">
      <formula>$I3="Active"</formula>
    </cfRule>
  </conditionalFormatting>
  <conditionalFormatting sqref="J3:DC45">
    <cfRule type="expression" dxfId="65" priority="2">
      <formula>AND(J3=1,$I3="Done")</formula>
    </cfRule>
    <cfRule type="expression" dxfId="64" priority="3">
      <formula>AND(J3=1,$I3="Late")</formula>
    </cfRule>
    <cfRule type="expression" dxfId="63" priority="4">
      <formula>J3=1</formula>
    </cfRule>
    <cfRule type="expression" dxfId="62" priority="5">
      <formula>WEEKDAY(J$2,2)&gt;=6</formula>
    </cfRule>
    <cfRule type="expression" dxfId="61" priority="6">
      <formula>J$2=TODAY()</formula>
    </cfRule>
  </conditionalFormatting>
  <dataValidations count="2">
    <dataValidation type="list" allowBlank="1" sqref="C3:C45" xr:uid="{00000000-0002-0000-0700-000000000000}">
      <formula1>List_Stages</formula1>
      <formula2>0</formula2>
    </dataValidation>
    <dataValidation type="list" allowBlank="1" sqref="D3:D45" xr:uid="{00000000-0002-0000-0700-000001000000}">
      <formula1>List_Departments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headerFooter>
    <oddFooter>&amp;C© 2026 Petros Kefalas - Licensed, not sold</oddFooter>
  </headerFooter>
</worksheet>
</file>

<file path=xl/worksheets/sheetKbsNotice.xml><?xml version="1.0" encoding="utf-8"?>
<worksheet xmlns="http://schemas.openxmlformats.org/spreadsheetml/2006/main" xmlns:r="http://schemas.openxmlformats.org/officeDocument/2006/relationships">
  <sheetViews>
    <sheetView workbookViewId="0" showGridLines="0" tabSelected="1"/>
  </sheetViews>
  <cols>
    <col min="2" max="2" width="95" customWidth="1"/>
  </cols>
  <sheetData>
    <row r="2">
      <c r="B2" t="inlineStr">
        <is>
          <t xml:space="preserve">KEFALAS  BUSINESS  SYSTEM</t>
        </is>
      </c>
    </row>
    <row r="4">
      <c r="B4" t="inlineStr">
        <is>
          <t xml:space="preserve">Αυτό είναι το αρχείο δεδομένων του Kefalas Business System.</t>
        </is>
      </c>
    </row>
    <row r="5">
      <c r="B5" t="inlineStr">
        <is>
          <t xml:space="preserve">Ανοίγει και επεξεργάζεται ΜΟΝΟ μέσα από την εφαρμογή KBS.</t>
        </is>
      </c>
    </row>
    <row r="7">
      <c r="B7" t="inlineStr">
        <is>
          <t xml:space="preserve">1. Άνοιξε την εφαρμογή:  https://app.kefalasbsystem.com</t>
        </is>
      </c>
    </row>
    <row r="8">
      <c r="B8" t="inlineStr">
        <is>
          <t xml:space="preserve">2. Πάτα «Load Excel» και διάλεξε αυτό το αρχείο.</t>
        </is>
      </c>
    </row>
    <row r="9">
      <c r="B9" t="inlineStr">
        <is>
          <t xml:space="preserve">3. Οι καταχωρήσεις σου αποθηκεύονται ξανά εδώ, με ασφάλεια.</t>
        </is>
      </c>
    </row>
    <row r="11">
      <c r="B11" t="inlineStr">
        <is>
          <t xml:space="preserve">This is the KBS data file. It opens and is edited ONLY through the KBS app.</t>
        </is>
      </c>
    </row>
    <row r="12">
      <c r="B12" t="inlineStr">
        <is>
          <t xml:space="preserve">Open https://app.kefalasbsystem.com, click "Load Excel" and pick this file.</t>
        </is>
      </c>
    </row>
    <row r="14">
      <c r="B14" t="inlineStr">
        <is>
          <t xml:space="preserve">© 2026 Kefalas Business System · kefalasbsystem.com · Licensed, not sold.</t>
        </is>
      </c>
    </row>
  </sheetData>
  <sheetProtection algorithmName="SHA-512" hashValue="CuFoGrVTUQHWz2KT9dgK1A0Pyoyw+60RZ6Jcb+4kNAozo9tKiUHCECNdklZw2ZgJRO4JqWOPe0m2fqQGIZqRMg==" saltValue="THsUJAeUT+MYknF4Ut9pNQ==" spinCount="100000" sheet="1" objects="1" scenarios="1" formatCells="1" formatColumns="1" formatRows="1" insertColumns="1" insertRows="1" insertHyperlinks="1" deleteColumns="1" deleteRows="1" sort="1" autoFilter="1" pivotTables="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131</vt:i4>
      </vt:variant>
    </vt:vector>
  </HeadingPairs>
  <TitlesOfParts>
    <vt:vector size="171" baseType="lpstr">
      <vt:lpstr>License</vt:lpstr>
      <vt:lpstr>Dashboard</vt:lpstr>
      <vt:lpstr>User_Guide</vt:lpstr>
      <vt:lpstr>Leads</vt:lpstr>
      <vt:lpstr>Quotation</vt:lpstr>
      <vt:lpstr>Quote_Followup</vt:lpstr>
      <vt:lpstr>Project_List</vt:lpstr>
      <vt:lpstr>Customers</vt:lpstr>
      <vt:lpstr>Gantt</vt:lpstr>
      <vt:lpstr>Cost_Calc</vt:lpstr>
      <vt:lpstr>Cabinet_Calc</vt:lpstr>
      <vt:lpstr>Cutting_List</vt:lpstr>
      <vt:lpstr>Capacity</vt:lpstr>
      <vt:lpstr>Staff</vt:lpstr>
      <vt:lpstr>Payroll</vt:lpstr>
      <vt:lpstr>Time_Tracking</vt:lpstr>
      <vt:lpstr>Subcontractors</vt:lpstr>
      <vt:lpstr>Logistics</vt:lpstr>
      <vt:lpstr>Checklists</vt:lpstr>
      <vt:lpstr>Cash_Flow</vt:lpstr>
      <vt:lpstr>Expenses</vt:lpstr>
      <vt:lpstr>Bank_Accounts</vt:lpstr>
      <vt:lpstr>Invoices</vt:lpstr>
      <vt:lpstr>Purchase_Orders</vt:lpstr>
      <vt:lpstr>P_L</vt:lpstr>
      <vt:lpstr>VAT_Return</vt:lpstr>
      <vt:lpstr>Variance</vt:lpstr>
      <vt:lpstr>Reports</vt:lpstr>
      <vt:lpstr>Warranty</vt:lpstr>
      <vt:lpstr>Snags</vt:lpstr>
      <vt:lpstr>Equipment</vt:lpstr>
      <vt:lpstr>Consumables</vt:lpstr>
      <vt:lpstr>Renewals</vt:lpstr>
      <vt:lpstr>Materials</vt:lpstr>
      <vt:lpstr>Hardware</vt:lpstr>
      <vt:lpstr>Product_Pricing</vt:lpstr>
      <vt:lpstr>Price_History</vt:lpstr>
      <vt:lpstr>Settings</vt:lpstr>
      <vt:lpstr>Suppliers</vt:lpstr>
      <vt:lpstr>Audit_Log</vt:lpstr>
      <vt:lpstr>Balance_Due_Days</vt:lpstr>
      <vt:lpstr>Bank_Current_Balance</vt:lpstr>
      <vt:lpstr>Bank_ID</vt:lpstr>
      <vt:lpstr>Bank_Name</vt:lpstr>
      <vt:lpstr>CF_Amount</vt:lpstr>
      <vt:lpstr>CF_Category</vt:lpstr>
      <vt:lpstr>CF_Date</vt:lpstr>
      <vt:lpstr>CF_Type</vt:lpstr>
      <vt:lpstr>Co_Address</vt:lpstr>
      <vt:lpstr>Co_Currency</vt:lpstr>
      <vt:lpstr>Co_Email</vt:lpstr>
      <vt:lpstr>Co_Name</vt:lpstr>
      <vt:lpstr>Co_Phone</vt:lpstr>
      <vt:lpstr>Co_VAT_No</vt:lpstr>
      <vt:lpstr>Cost_GrandTotal</vt:lpstr>
      <vt:lpstr>Cost_Labor</vt:lpstr>
      <vt:lpstr>Cost_Materials</vt:lpstr>
      <vt:lpstr>Cost_Net</vt:lpstr>
      <vt:lpstr>Cost_Other</vt:lpstr>
      <vt:lpstr>Cost_Suggested</vt:lpstr>
      <vt:lpstr>Cost_Total</vt:lpstr>
      <vt:lpstr>Customer_IDs</vt:lpstr>
      <vt:lpstr>Customer_Names</vt:lpstr>
      <vt:lpstr>Customers_Table</vt:lpstr>
      <vt:lpstr>Cutting_Project</vt:lpstr>
      <vt:lpstr>Cutting_Total_Cost</vt:lpstr>
      <vt:lpstr>Delivery_Base_Fee</vt:lpstr>
      <vt:lpstr>Deposit_Pct</vt:lpstr>
      <vt:lpstr>Exp_Category</vt:lpstr>
      <vt:lpstr>Exp_Date</vt:lpstr>
      <vt:lpstr>Exp_Net</vt:lpstr>
      <vt:lpstr>Exp_Total</vt:lpstr>
      <vt:lpstr>Exp_VAT</vt:lpstr>
      <vt:lpstr>Factor_Cabinets</vt:lpstr>
      <vt:lpstr>Factor_CeilingPanels</vt:lpstr>
      <vt:lpstr>Factor_Doors</vt:lpstr>
      <vt:lpstr>Factor_Furniture</vt:lpstr>
      <vt:lpstr>Factor_Kitchens</vt:lpstr>
      <vt:lpstr>Factor_WallPanels</vt:lpstr>
      <vt:lpstr>Factor_Wardrobes</vt:lpstr>
      <vt:lpstr>Fuel_Cost_Per_Km</vt:lpstr>
      <vt:lpstr>Gantt_Status</vt:lpstr>
      <vt:lpstr>Gantt_Table</vt:lpstr>
      <vt:lpstr>Hardware_Codes</vt:lpstr>
      <vt:lpstr>Hardware_Table</vt:lpstr>
      <vt:lpstr>Install_Base_Fee</vt:lpstr>
      <vt:lpstr>Invoice_DueDate</vt:lpstr>
      <vt:lpstr>Invoice_Outstanding</vt:lpstr>
      <vt:lpstr>Invoice_Paid</vt:lpstr>
      <vt:lpstr>Invoice_ProjectIDs</vt:lpstr>
      <vt:lpstr>Invoice_Status</vt:lpstr>
      <vt:lpstr>Invoice_Total</vt:lpstr>
      <vt:lpstr>Invoices_Table</vt:lpstr>
      <vt:lpstr>List_Categories</vt:lpstr>
      <vt:lpstr>List_Departments</vt:lpstr>
      <vt:lpstr>List_Priorities</vt:lpstr>
      <vt:lpstr>List_Stages</vt:lpstr>
      <vt:lpstr>List_Statuses</vt:lpstr>
      <vt:lpstr>List_YesNo</vt:lpstr>
      <vt:lpstr>Logistics_Dates</vt:lpstr>
      <vt:lpstr>Logistics_Status</vt:lpstr>
      <vt:lpstr>Logistics_Table</vt:lpstr>
      <vt:lpstr>Logistics_Type</vt:lpstr>
      <vt:lpstr>Markup_Pct</vt:lpstr>
      <vt:lpstr>Materials_Codes</vt:lpstr>
      <vt:lpstr>Materials_Table</vt:lpstr>
      <vt:lpstr>Max_Discount_Pct</vt:lpstr>
      <vt:lpstr>Mult_Assembly</vt:lpstr>
      <vt:lpstr>Mult_CNC</vt:lpstr>
      <vt:lpstr>Mult_Cutting</vt:lpstr>
      <vt:lpstr>Mult_Design</vt:lpstr>
      <vt:lpstr>Mult_EdgeBand</vt:lpstr>
      <vt:lpstr>Mult_Install</vt:lpstr>
      <vt:lpstr>Mult_Paint</vt:lpstr>
      <vt:lpstr>Mult_Sanding</vt:lpstr>
      <vt:lpstr>Overhead_Pct</vt:lpstr>
      <vt:lpstr>Payroll_GrandTotal</vt:lpstr>
      <vt:lpstr>Payroll_Total</vt:lpstr>
      <vt:lpstr>PO_Project</vt:lpstr>
      <vt:lpstr>PO_Status</vt:lpstr>
      <vt:lpstr>PO_Supplier</vt:lpstr>
      <vt:lpstr>PO_Table</vt:lpstr>
      <vt:lpstr>PO_Total</vt:lpstr>
      <vt:lpstr>Pricing_Table</vt:lpstr>
      <vt:lpstr>Project_Categories</vt:lpstr>
      <vt:lpstr>Project_Cost</vt:lpstr>
      <vt:lpstr>Project_Deadline</vt:lpstr>
      <vt:lpstr>Project_DeliveryDt</vt:lpstr>
      <vt:lpstr>Project_IDs</vt:lpstr>
      <vt:lpstr>Project_InstallDt</vt:lpstr>
      <vt:lpstr>Project_Profit</vt:lpstr>
      <vt:lpstr>Project_Progress</vt:lpstr>
      <vt:lpstr>Project_Quoted</vt:lpstr>
      <vt:lpstr>Project_Statuses</vt:lpstr>
      <vt:lpstr>Projects_Table</vt:lpstr>
      <vt:lpstr>QF_Outcome</vt:lpstr>
      <vt:lpstr>Rate_Assembly</vt:lpstr>
      <vt:lpstr>Rate_CNC</vt:lpstr>
      <vt:lpstr>Rate_Cutting</vt:lpstr>
      <vt:lpstr>Rate_Design</vt:lpstr>
      <vt:lpstr>Rate_EdgeBand</vt:lpstr>
      <vt:lpstr>Rate_Install</vt:lpstr>
      <vt:lpstr>Rate_Loading</vt:lpstr>
      <vt:lpstr>Rate_Measuring</vt:lpstr>
      <vt:lpstr>Rate_Overtime_Mult</vt:lpstr>
      <vt:lpstr>Rate_Paint</vt:lpstr>
      <vt:lpstr>Rate_Sanding</vt:lpstr>
      <vt:lpstr>Rate_Supervisor</vt:lpstr>
      <vt:lpstr>Site_Work_Factor</vt:lpstr>
      <vt:lpstr>Snag_Severity</vt:lpstr>
      <vt:lpstr>Snag_Status</vt:lpstr>
      <vt:lpstr>Staff_IDs</vt:lpstr>
      <vt:lpstr>Staff_Names</vt:lpstr>
      <vt:lpstr>Staff_Table</vt:lpstr>
      <vt:lpstr>Subs_Outstanding</vt:lpstr>
      <vt:lpstr>Subs_Status</vt:lpstr>
      <vt:lpstr>Subs_Table</vt:lpstr>
      <vt:lpstr>Supplier_IDs</vt:lpstr>
      <vt:lpstr>Supplier_Names</vt:lpstr>
      <vt:lpstr>Suppliers_Table</vt:lpstr>
      <vt:lpstr>Target_Margin_Pct</vt:lpstr>
      <vt:lpstr>Time_Cost</vt:lpstr>
      <vt:lpstr>Time_Dept</vt:lpstr>
      <vt:lpstr>Time_Hours</vt:lpstr>
      <vt:lpstr>Time_Overtime</vt:lpstr>
      <vt:lpstr>Time_ProjectIDs</vt:lpstr>
      <vt:lpstr>Time_Table</vt:lpstr>
      <vt:lpstr>VAT_Rate</vt:lpstr>
      <vt:lpstr>Warranty_Project</vt:lpstr>
      <vt:lpstr>Warranty_Status</vt:lpstr>
      <vt:lpstr>Waste_Pct</vt:lpstr>
    </vt:vector>
  </TitlesOfParts>
  <LinksUpToDate>false</LinksUpToDate>
  <SharedDoc>false</SharedDoc>
  <HyperlinksChanged>false</HyperlinksChanged>
  <AppVersion>16.0300</AppVersion>
  <Company>Petros Kefalas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Joinery Business System v3</dc:title>
  <dc:subject/>
  <dc:creator>Petros Kefalas</dc:creator>
  <dc:description>(c) 2026 Petros Kefalas (cnckefalas@gmail.com). All rights reserved. Licensed, not sold.</dc:description>
  <cp:lastModifiedBy>Petros Kefalas</cp:lastModifiedBy>
  <cp:revision>4</cp:revision>
  <dcterms:created xsi:type="dcterms:W3CDTF">2026-04-21T07:47:01Z</dcterms:created>
  <dcterms:modified xsi:type="dcterms:W3CDTF">2026-07-08T14:27:31Z</dcterms:modified>
  <dc:language>en-US</dc:language>
  <cp:keywords>joinery; business system; Petros Kefalas; licensed</cp:keywords>
</cp:coreProperties>
</file>